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defaultThemeVersion="124226"/>
  <mc:AlternateContent xmlns:mc="http://schemas.openxmlformats.org/markup-compatibility/2006">
    <mc:Choice Requires="x15">
      <x15ac:absPath xmlns:x15ac="http://schemas.microsoft.com/office/spreadsheetml/2010/11/ac" url="C:\Users\User 1\Desktop\"/>
    </mc:Choice>
  </mc:AlternateContent>
  <xr:revisionPtr revIDLastSave="0" documentId="13_ncr:1_{ECDC07DF-95FC-427C-8677-546DEA4DA05D}" xr6:coauthVersionLast="36" xr6:coauthVersionMax="36" xr10:uidLastSave="{00000000-0000-0000-0000-000000000000}"/>
  <bookViews>
    <workbookView xWindow="0" yWindow="0" windowWidth="28800" windowHeight="12225" xr2:uid="{00000000-000D-0000-FFFF-FFFF00000000}"/>
  </bookViews>
  <sheets>
    <sheet name="Ιανουάριος-Ιούνιος 2019" sheetId="1" r:id="rId1"/>
    <sheet name="Ιούλιος 2019" sheetId="4" r:id="rId2"/>
    <sheet name="Αύγουστος-Σεπτέμβριος 2019" sheetId="5" r:id="rId3"/>
    <sheet name="Οκτώβριος 2019" sheetId="6" r:id="rId4"/>
    <sheet name="Νοέμβριος 2019" sheetId="7" r:id="rId5"/>
    <sheet name="Δεκέμβριος 2019" sheetId="8" r:id="rId6"/>
    <sheet name="Φύλλο2" sheetId="2" state="hidden" r:id="rId7"/>
    <sheet name="Φύλλο3" sheetId="3" state="hidden" r:id="rId8"/>
  </sheets>
  <calcPr calcId="191029"/>
</workbook>
</file>

<file path=xl/calcChain.xml><?xml version="1.0" encoding="utf-8"?>
<calcChain xmlns="http://schemas.openxmlformats.org/spreadsheetml/2006/main">
  <c r="F114" i="8" l="1"/>
  <c r="E114" i="8"/>
  <c r="D114" i="8"/>
  <c r="C114" i="8"/>
  <c r="B114" i="8"/>
  <c r="A114" i="8"/>
  <c r="F113" i="8"/>
  <c r="D113" i="8"/>
  <c r="C113" i="8"/>
  <c r="B113" i="8"/>
  <c r="A113" i="8"/>
  <c r="F112" i="8"/>
  <c r="E112" i="8"/>
  <c r="D112" i="8"/>
  <c r="C112" i="8"/>
  <c r="B112" i="8"/>
  <c r="A112" i="8"/>
  <c r="F111" i="8"/>
  <c r="E111" i="8"/>
  <c r="D111" i="8"/>
  <c r="C111" i="8"/>
  <c r="B111" i="8"/>
  <c r="F110" i="8"/>
  <c r="E110" i="8"/>
  <c r="D110" i="8"/>
  <c r="C110" i="8"/>
  <c r="B110" i="8"/>
  <c r="A110" i="8"/>
  <c r="F109" i="8"/>
  <c r="E109" i="8"/>
  <c r="D109" i="8"/>
  <c r="C109" i="8"/>
  <c r="B109" i="8"/>
  <c r="A109" i="8"/>
  <c r="F108" i="8"/>
  <c r="E108" i="8"/>
  <c r="D108" i="8"/>
  <c r="C108" i="8"/>
  <c r="F107" i="8"/>
  <c r="D107" i="8"/>
  <c r="C107" i="8"/>
  <c r="B107" i="8"/>
  <c r="F106" i="8"/>
  <c r="E106" i="8"/>
  <c r="D106" i="8"/>
  <c r="C106" i="8"/>
  <c r="B106" i="8"/>
  <c r="A106" i="8"/>
  <c r="F105" i="8"/>
  <c r="E105" i="8"/>
  <c r="D105" i="8"/>
  <c r="C105" i="8"/>
  <c r="B105" i="8"/>
  <c r="A105" i="8"/>
  <c r="F104" i="8"/>
  <c r="E104" i="8"/>
  <c r="D104" i="8"/>
  <c r="C104" i="8"/>
  <c r="B104" i="8"/>
  <c r="A104" i="8"/>
  <c r="F103" i="8"/>
  <c r="E103" i="8"/>
  <c r="D103" i="8"/>
  <c r="C103" i="8"/>
  <c r="B103" i="8"/>
  <c r="A103" i="8"/>
  <c r="F102" i="8"/>
  <c r="E102" i="8"/>
  <c r="D102" i="8"/>
  <c r="C102" i="8"/>
  <c r="B102" i="8"/>
  <c r="A102" i="8"/>
  <c r="F101" i="8"/>
  <c r="E101" i="8"/>
  <c r="D101" i="8"/>
  <c r="C101" i="8"/>
  <c r="F100" i="8"/>
  <c r="E100" i="8"/>
  <c r="D100" i="8"/>
  <c r="C100" i="8"/>
  <c r="B100" i="8"/>
  <c r="A100" i="8"/>
  <c r="F99" i="8"/>
  <c r="E99" i="8"/>
  <c r="D99" i="8"/>
  <c r="C99" i="8"/>
  <c r="B99" i="8"/>
  <c r="A99" i="8"/>
  <c r="F98" i="8"/>
  <c r="E98" i="8"/>
  <c r="D98" i="8"/>
  <c r="C98" i="8"/>
  <c r="B98" i="8"/>
  <c r="A98" i="8"/>
  <c r="F97" i="8"/>
  <c r="E97" i="8"/>
  <c r="D97" i="8"/>
  <c r="C97" i="8"/>
  <c r="B97" i="8"/>
  <c r="A97" i="8"/>
  <c r="F96" i="8"/>
  <c r="E96" i="8"/>
  <c r="D96" i="8"/>
  <c r="C96" i="8"/>
  <c r="B96" i="8"/>
  <c r="A96" i="8"/>
  <c r="F95" i="8"/>
  <c r="E95" i="8"/>
  <c r="D95" i="8"/>
  <c r="C95" i="8"/>
  <c r="B95" i="8"/>
  <c r="A95" i="8"/>
  <c r="F94" i="8"/>
  <c r="E94" i="8"/>
  <c r="C94" i="8"/>
  <c r="F93" i="8"/>
  <c r="E93" i="8"/>
  <c r="D93" i="8"/>
  <c r="C93" i="8"/>
  <c r="B93" i="8"/>
  <c r="F92" i="8"/>
  <c r="E92" i="8"/>
  <c r="D92" i="8"/>
  <c r="C92" i="8"/>
  <c r="F91" i="8"/>
  <c r="E91" i="8"/>
  <c r="D91" i="8"/>
  <c r="C91" i="8"/>
  <c r="B91" i="8"/>
  <c r="A91" i="8"/>
  <c r="F90" i="8"/>
  <c r="E90" i="8"/>
  <c r="D90" i="8"/>
  <c r="C90" i="8"/>
  <c r="F89" i="8"/>
  <c r="E89" i="8"/>
  <c r="D89" i="8"/>
  <c r="C89" i="8"/>
  <c r="F88" i="8"/>
  <c r="E88" i="8"/>
  <c r="D88" i="8"/>
  <c r="C88" i="8"/>
  <c r="B88" i="8"/>
  <c r="A88" i="8"/>
  <c r="F87" i="8"/>
  <c r="E87" i="8"/>
  <c r="D87" i="8"/>
  <c r="C87" i="8"/>
  <c r="B87" i="8"/>
  <c r="A87" i="8"/>
  <c r="F86" i="8"/>
  <c r="E86" i="8"/>
  <c r="D86" i="8"/>
  <c r="C86" i="8"/>
  <c r="F85" i="8"/>
  <c r="E85" i="8"/>
  <c r="D85" i="8"/>
  <c r="C85" i="8"/>
  <c r="F84" i="8"/>
  <c r="E84" i="8"/>
  <c r="D84" i="8"/>
  <c r="C84" i="8"/>
  <c r="B84" i="8"/>
  <c r="A84" i="8"/>
  <c r="F83" i="8"/>
  <c r="E83" i="8"/>
  <c r="D83" i="8"/>
  <c r="C83" i="8"/>
  <c r="B83" i="8"/>
  <c r="F82" i="8"/>
  <c r="E82" i="8"/>
  <c r="D82" i="8"/>
  <c r="C82" i="8"/>
  <c r="F81" i="8"/>
  <c r="E81" i="8"/>
  <c r="D81" i="8"/>
  <c r="C81" i="8"/>
  <c r="B81" i="8"/>
  <c r="F80" i="8"/>
  <c r="E80" i="8"/>
  <c r="D80" i="8"/>
  <c r="C80" i="8"/>
  <c r="B80" i="8"/>
  <c r="A80" i="8"/>
  <c r="F79" i="8"/>
  <c r="E79" i="8"/>
  <c r="D79" i="8"/>
  <c r="C79" i="8"/>
  <c r="B79" i="8"/>
  <c r="A79" i="8"/>
  <c r="F78" i="8"/>
  <c r="E78" i="8"/>
  <c r="D78" i="8"/>
  <c r="C78" i="8"/>
  <c r="B78" i="8"/>
  <c r="A78" i="8"/>
  <c r="F77" i="8"/>
  <c r="E77" i="8"/>
  <c r="D77" i="8"/>
  <c r="C77" i="8"/>
  <c r="B77" i="8"/>
  <c r="A77" i="8"/>
  <c r="F76" i="8"/>
  <c r="E76" i="8"/>
  <c r="D76" i="8"/>
  <c r="C76" i="8"/>
  <c r="F75" i="8"/>
  <c r="E75" i="8"/>
  <c r="D75" i="8"/>
  <c r="C75" i="8"/>
  <c r="B75" i="8"/>
  <c r="A75" i="8"/>
  <c r="F74" i="8"/>
  <c r="E74" i="8"/>
  <c r="D74" i="8"/>
  <c r="C74" i="8"/>
  <c r="F73" i="8"/>
  <c r="E73" i="8"/>
  <c r="D73" i="8"/>
  <c r="C73" i="8"/>
  <c r="A73" i="8"/>
  <c r="F72" i="8"/>
  <c r="E72" i="8"/>
  <c r="D72" i="8"/>
  <c r="C72" i="8"/>
  <c r="B72" i="8"/>
  <c r="A72" i="8"/>
  <c r="F71" i="8"/>
  <c r="E71" i="8"/>
  <c r="D71" i="8"/>
  <c r="C71" i="8"/>
  <c r="E70" i="8"/>
  <c r="C70" i="8"/>
  <c r="B70" i="8"/>
  <c r="F69" i="8"/>
  <c r="E69" i="8"/>
  <c r="D69" i="8"/>
  <c r="C69" i="8"/>
  <c r="B69" i="8"/>
  <c r="A69" i="8"/>
  <c r="F68" i="8"/>
  <c r="E68" i="8"/>
  <c r="D68" i="8"/>
  <c r="C68" i="8"/>
  <c r="F67" i="8"/>
  <c r="E67" i="8"/>
  <c r="D67" i="8"/>
  <c r="C67" i="8"/>
  <c r="F66" i="8"/>
  <c r="E66" i="8"/>
  <c r="D66" i="8"/>
  <c r="C66" i="8"/>
  <c r="F65" i="8"/>
  <c r="E65" i="8"/>
  <c r="D65" i="8"/>
  <c r="C65" i="8"/>
  <c r="B65" i="8"/>
  <c r="A65" i="8"/>
  <c r="F64" i="8"/>
  <c r="E64" i="8"/>
  <c r="D64" i="8"/>
  <c r="C64" i="8"/>
  <c r="B64" i="8"/>
  <c r="A64" i="8"/>
  <c r="F63" i="8"/>
  <c r="E63" i="8"/>
  <c r="D63" i="8"/>
  <c r="C63" i="8"/>
  <c r="B63" i="8"/>
  <c r="A63" i="8"/>
  <c r="F62" i="8"/>
  <c r="E62" i="8"/>
  <c r="D62" i="8"/>
  <c r="C62" i="8"/>
  <c r="F61" i="8"/>
  <c r="E61" i="8"/>
  <c r="D61" i="8"/>
  <c r="C61" i="8"/>
  <c r="F60" i="8"/>
  <c r="E60" i="8"/>
  <c r="D60" i="8"/>
  <c r="C60" i="8"/>
  <c r="F59" i="8"/>
  <c r="E59" i="8"/>
  <c r="D59" i="8"/>
  <c r="C59" i="8"/>
  <c r="B59" i="8"/>
  <c r="A59" i="8"/>
  <c r="F58" i="8"/>
  <c r="E58" i="8"/>
  <c r="D58" i="8"/>
  <c r="C58" i="8"/>
  <c r="F57" i="8"/>
  <c r="E57" i="8"/>
  <c r="D57" i="8"/>
  <c r="C57" i="8"/>
  <c r="B57" i="8"/>
  <c r="A57" i="8"/>
  <c r="F56" i="8"/>
  <c r="E56" i="8"/>
  <c r="D56" i="8"/>
  <c r="C56" i="8"/>
  <c r="F55" i="8"/>
  <c r="E55" i="8"/>
  <c r="D55" i="8"/>
  <c r="C55" i="8"/>
  <c r="F54" i="8"/>
  <c r="E54" i="8"/>
  <c r="D54" i="8"/>
  <c r="C54" i="8"/>
  <c r="B54" i="8"/>
  <c r="A54" i="8"/>
  <c r="F53" i="8"/>
  <c r="E53" i="8"/>
  <c r="D53" i="8"/>
  <c r="C53" i="8"/>
  <c r="B53" i="8"/>
  <c r="A53" i="8"/>
  <c r="F52" i="8"/>
  <c r="E52" i="8"/>
  <c r="D52" i="8"/>
  <c r="C52" i="8"/>
  <c r="B52" i="8"/>
  <c r="A52" i="8"/>
  <c r="F51" i="8"/>
  <c r="E51" i="8"/>
  <c r="D51" i="8"/>
  <c r="C51" i="8"/>
  <c r="B51" i="8"/>
  <c r="A51" i="8"/>
  <c r="F50" i="8"/>
  <c r="E50" i="8"/>
  <c r="D50" i="8"/>
  <c r="C50" i="8"/>
  <c r="B50" i="8"/>
  <c r="A50" i="8"/>
  <c r="F49" i="8"/>
  <c r="E49" i="8"/>
  <c r="D49" i="8"/>
  <c r="C49" i="8"/>
  <c r="B49" i="8"/>
  <c r="F48" i="8"/>
  <c r="E48" i="8"/>
  <c r="D48" i="8"/>
  <c r="C48" i="8"/>
  <c r="B48" i="8"/>
  <c r="A48" i="8"/>
  <c r="F47" i="8"/>
  <c r="E47" i="8"/>
  <c r="D47" i="8"/>
  <c r="C47" i="8"/>
  <c r="B47" i="8"/>
  <c r="A47" i="8"/>
  <c r="F46" i="8"/>
  <c r="E46" i="8"/>
  <c r="D46" i="8"/>
  <c r="C46" i="8"/>
  <c r="B46" i="8"/>
  <c r="A46" i="8"/>
  <c r="F45" i="8"/>
  <c r="E45" i="8"/>
  <c r="D45" i="8"/>
  <c r="C45" i="8"/>
  <c r="B45" i="8"/>
  <c r="A45" i="8"/>
  <c r="F44" i="8"/>
  <c r="E44" i="8"/>
  <c r="C44" i="8"/>
  <c r="E43" i="8"/>
  <c r="D43" i="8"/>
  <c r="C43" i="8"/>
  <c r="F42" i="8"/>
  <c r="E42" i="8"/>
  <c r="D42" i="8"/>
  <c r="C42" i="8"/>
  <c r="B42" i="8"/>
  <c r="A42" i="8"/>
  <c r="E41" i="8"/>
  <c r="D41" i="8"/>
  <c r="C41" i="8"/>
  <c r="B41" i="8"/>
  <c r="A41" i="8"/>
  <c r="F40" i="8"/>
  <c r="E40" i="8"/>
  <c r="D40" i="8"/>
  <c r="C40" i="8"/>
  <c r="B40" i="8"/>
  <c r="A40" i="8"/>
  <c r="F39" i="8"/>
  <c r="E39" i="8"/>
  <c r="D39" i="8"/>
  <c r="C39" i="8"/>
  <c r="F38" i="8"/>
  <c r="E38" i="8"/>
  <c r="D38" i="8"/>
  <c r="C38" i="8"/>
  <c r="B38" i="8"/>
  <c r="A38" i="8"/>
  <c r="F37" i="8"/>
  <c r="E37" i="8"/>
  <c r="D37" i="8"/>
  <c r="C37" i="8"/>
  <c r="B37" i="8"/>
  <c r="A37" i="8"/>
  <c r="F36" i="8"/>
  <c r="E36" i="8"/>
  <c r="D36" i="8"/>
  <c r="C36" i="8"/>
  <c r="B36" i="8"/>
  <c r="A36" i="8"/>
  <c r="F35" i="8"/>
  <c r="E35" i="8"/>
  <c r="D35" i="8"/>
  <c r="C35" i="8"/>
  <c r="B35" i="8"/>
  <c r="A35" i="8"/>
  <c r="F34" i="8"/>
  <c r="E34" i="8"/>
  <c r="D34" i="8"/>
  <c r="C34" i="8"/>
  <c r="B34" i="8"/>
  <c r="A34" i="8"/>
  <c r="F33" i="8"/>
  <c r="E33" i="8"/>
  <c r="D33" i="8"/>
  <c r="C33" i="8"/>
  <c r="B33" i="8"/>
  <c r="A33" i="8"/>
  <c r="F32" i="8"/>
  <c r="E32" i="8"/>
  <c r="D32" i="8"/>
  <c r="C32" i="8"/>
  <c r="B32" i="8"/>
  <c r="F31" i="8"/>
  <c r="E31" i="8"/>
  <c r="D31" i="8"/>
  <c r="C31" i="8"/>
  <c r="B31" i="8"/>
  <c r="A31" i="8"/>
  <c r="F30" i="8"/>
  <c r="E30" i="8"/>
  <c r="D30" i="8"/>
  <c r="C30" i="8"/>
  <c r="B30" i="8"/>
  <c r="A30" i="8"/>
  <c r="F29" i="8"/>
  <c r="E29" i="8"/>
  <c r="D29" i="8"/>
  <c r="C29" i="8"/>
  <c r="B29" i="8"/>
  <c r="F28" i="8"/>
  <c r="E28" i="8"/>
  <c r="D28" i="8"/>
  <c r="C28" i="8"/>
  <c r="F27" i="8"/>
  <c r="E27" i="8"/>
  <c r="D27" i="8"/>
  <c r="C27" i="8"/>
  <c r="F26" i="8"/>
  <c r="E26" i="8"/>
  <c r="D26" i="8"/>
  <c r="C26" i="8"/>
  <c r="B26" i="8"/>
  <c r="A26" i="8"/>
  <c r="F25" i="8"/>
  <c r="E25" i="8"/>
  <c r="D25" i="8"/>
  <c r="C25" i="8"/>
  <c r="B25" i="8"/>
  <c r="A25" i="8"/>
  <c r="F24" i="8"/>
  <c r="E24" i="8"/>
  <c r="D24" i="8"/>
  <c r="C24" i="8"/>
  <c r="B24" i="8"/>
  <c r="A24" i="8"/>
  <c r="F23" i="8"/>
  <c r="E23" i="8"/>
  <c r="D23" i="8"/>
  <c r="C23" i="8"/>
  <c r="B23" i="8"/>
  <c r="A23" i="8"/>
  <c r="F22" i="8"/>
  <c r="E22" i="8"/>
  <c r="D22" i="8"/>
  <c r="C22" i="8"/>
  <c r="B22" i="8"/>
  <c r="A22" i="8"/>
  <c r="F21" i="8"/>
  <c r="E21" i="8"/>
  <c r="D21" i="8"/>
  <c r="C21" i="8"/>
  <c r="B21" i="8"/>
  <c r="A21" i="8"/>
  <c r="F20" i="8"/>
  <c r="E20" i="8"/>
  <c r="D20" i="8"/>
  <c r="C20" i="8"/>
  <c r="B20" i="8"/>
  <c r="F19" i="8"/>
  <c r="E19" i="8"/>
  <c r="D19" i="8"/>
  <c r="C19" i="8"/>
  <c r="F18" i="8"/>
  <c r="E18" i="8"/>
  <c r="D18" i="8"/>
  <c r="C18" i="8"/>
  <c r="F17" i="8"/>
  <c r="E17" i="8"/>
  <c r="D17" i="8"/>
  <c r="C17" i="8"/>
  <c r="B17" i="8"/>
  <c r="A17" i="8"/>
  <c r="F16" i="8"/>
  <c r="E16" i="8"/>
  <c r="D16" i="8"/>
  <c r="C16" i="8"/>
  <c r="B16" i="8"/>
  <c r="A16" i="8"/>
  <c r="F15" i="8"/>
  <c r="E15" i="8"/>
  <c r="D15" i="8"/>
  <c r="C15" i="8"/>
  <c r="B15" i="8"/>
  <c r="A15" i="8"/>
  <c r="F14" i="8"/>
  <c r="E14" i="8"/>
  <c r="D14" i="8"/>
  <c r="C14" i="8"/>
  <c r="B14" i="8"/>
  <c r="A14" i="8"/>
  <c r="F13" i="8"/>
  <c r="E13" i="8"/>
  <c r="D13" i="8"/>
  <c r="C13" i="8"/>
  <c r="B13" i="8"/>
  <c r="A13" i="8"/>
  <c r="F12" i="8"/>
  <c r="E12" i="8"/>
  <c r="D12" i="8"/>
  <c r="C12" i="8"/>
  <c r="D11" i="8"/>
  <c r="C11" i="8"/>
  <c r="F10" i="8"/>
  <c r="E10" i="8"/>
  <c r="D10" i="8"/>
  <c r="C10" i="8"/>
  <c r="B10" i="8"/>
  <c r="A10" i="8"/>
  <c r="F9" i="8"/>
  <c r="E9" i="8"/>
  <c r="D9" i="8"/>
  <c r="C9" i="8"/>
  <c r="F8" i="8"/>
  <c r="E8" i="8"/>
  <c r="D8" i="8"/>
  <c r="C8" i="8"/>
  <c r="B8" i="8"/>
  <c r="A8" i="8"/>
  <c r="F7" i="8"/>
  <c r="E7" i="8"/>
  <c r="D7" i="8"/>
  <c r="C7" i="8"/>
  <c r="F6" i="8"/>
  <c r="E6" i="8"/>
  <c r="D6" i="8"/>
  <c r="C6" i="8"/>
  <c r="B6" i="8"/>
  <c r="A6" i="8"/>
  <c r="F5" i="8"/>
  <c r="E5" i="8"/>
  <c r="D5" i="8"/>
  <c r="C5" i="8"/>
  <c r="F4" i="8"/>
  <c r="E4" i="8"/>
  <c r="D4" i="8"/>
  <c r="C4" i="8"/>
  <c r="B4" i="8"/>
  <c r="A4" i="8"/>
  <c r="F3" i="8"/>
  <c r="E3" i="8"/>
  <c r="D3" i="8"/>
  <c r="C3" i="8"/>
  <c r="B3" i="8"/>
  <c r="A3" i="8"/>
  <c r="F2" i="8"/>
  <c r="E2" i="8"/>
  <c r="D2" i="8"/>
  <c r="C2" i="8"/>
  <c r="B2" i="8"/>
  <c r="A2" i="8"/>
  <c r="F167" i="4" l="1"/>
  <c r="E167" i="4"/>
  <c r="D167" i="4"/>
  <c r="C167" i="4"/>
  <c r="B167" i="4"/>
  <c r="A167" i="4"/>
  <c r="E166" i="4"/>
  <c r="D166" i="4"/>
  <c r="C166" i="4"/>
  <c r="B166" i="4"/>
  <c r="A166" i="4"/>
  <c r="F165" i="4"/>
  <c r="E165" i="4"/>
  <c r="D165" i="4"/>
  <c r="C165" i="4"/>
  <c r="B165" i="4"/>
  <c r="A165" i="4"/>
  <c r="F164" i="4"/>
  <c r="E164" i="4"/>
  <c r="D164" i="4"/>
  <c r="C164" i="4"/>
  <c r="B164" i="4"/>
  <c r="A164" i="4"/>
  <c r="F163" i="4"/>
  <c r="E163" i="4"/>
  <c r="D163" i="4"/>
  <c r="C163" i="4"/>
  <c r="B163" i="4"/>
  <c r="A163" i="4"/>
  <c r="F162" i="4"/>
  <c r="E162" i="4"/>
  <c r="D162" i="4"/>
  <c r="C162" i="4"/>
  <c r="B162" i="4"/>
  <c r="A162" i="4"/>
  <c r="F161" i="4"/>
  <c r="E161" i="4"/>
  <c r="D161" i="4"/>
  <c r="C161" i="4"/>
  <c r="B161" i="4"/>
  <c r="A161" i="4"/>
  <c r="F160" i="4"/>
  <c r="E160" i="4"/>
  <c r="D160" i="4"/>
  <c r="C160" i="4"/>
  <c r="B160" i="4"/>
  <c r="A160" i="4"/>
  <c r="F159" i="4"/>
  <c r="E159" i="4"/>
  <c r="D159" i="4"/>
  <c r="C159" i="4"/>
  <c r="B159" i="4"/>
  <c r="A159" i="4"/>
  <c r="F158" i="4"/>
  <c r="E158" i="4"/>
  <c r="D158" i="4"/>
  <c r="C158" i="4"/>
  <c r="B158" i="4"/>
  <c r="A158" i="4"/>
  <c r="F157" i="4"/>
  <c r="E157" i="4"/>
  <c r="D157" i="4"/>
  <c r="C157" i="4"/>
  <c r="B157" i="4"/>
  <c r="A157" i="4"/>
  <c r="F156" i="4"/>
  <c r="E156" i="4"/>
  <c r="D156" i="4"/>
  <c r="C156" i="4"/>
  <c r="B156" i="4"/>
  <c r="A156" i="4"/>
  <c r="F155" i="4"/>
  <c r="E155" i="4"/>
  <c r="D155" i="4"/>
  <c r="C155" i="4"/>
  <c r="F154" i="4"/>
  <c r="E154" i="4"/>
  <c r="D154" i="4"/>
  <c r="C154" i="4"/>
  <c r="B154" i="4"/>
  <c r="A154" i="4"/>
  <c r="F153" i="4"/>
  <c r="E153" i="4"/>
  <c r="D153" i="4"/>
  <c r="C153" i="4"/>
  <c r="B153" i="4"/>
  <c r="A153" i="4"/>
  <c r="F152" i="4"/>
  <c r="E152" i="4"/>
  <c r="D152" i="4"/>
  <c r="C152" i="4"/>
  <c r="B152" i="4"/>
  <c r="A152" i="4"/>
  <c r="F151" i="4"/>
  <c r="E151" i="4"/>
  <c r="D151" i="4"/>
  <c r="C151" i="4"/>
  <c r="B151" i="4"/>
  <c r="F150" i="4"/>
  <c r="E150" i="4"/>
  <c r="D150" i="4"/>
  <c r="C150" i="4"/>
  <c r="B150" i="4"/>
  <c r="A150" i="4"/>
  <c r="F149" i="4"/>
  <c r="E149" i="4"/>
  <c r="D149" i="4"/>
  <c r="C149" i="4"/>
  <c r="B149" i="4"/>
  <c r="A149" i="4"/>
  <c r="F148" i="4"/>
  <c r="E148" i="4"/>
  <c r="D148" i="4"/>
  <c r="C148" i="4"/>
  <c r="B148" i="4"/>
  <c r="A148" i="4"/>
  <c r="F147" i="4"/>
  <c r="E147" i="4"/>
  <c r="D147" i="4"/>
  <c r="C147" i="4"/>
  <c r="B147" i="4"/>
  <c r="A147" i="4"/>
  <c r="F146" i="4"/>
  <c r="E146" i="4"/>
  <c r="D146" i="4"/>
  <c r="C146" i="4"/>
  <c r="B146" i="4"/>
  <c r="A146" i="4"/>
  <c r="F145" i="4"/>
  <c r="E145" i="4"/>
  <c r="D145" i="4"/>
  <c r="C145" i="4"/>
  <c r="B145" i="4"/>
  <c r="A145" i="4"/>
  <c r="F144" i="4"/>
  <c r="E144" i="4"/>
  <c r="D144" i="4"/>
  <c r="C144" i="4"/>
  <c r="B144" i="4"/>
  <c r="A144" i="4"/>
  <c r="F143" i="4"/>
  <c r="E143" i="4"/>
  <c r="D143" i="4"/>
  <c r="C143" i="4"/>
  <c r="B143" i="4"/>
  <c r="A143" i="4"/>
  <c r="F142" i="4"/>
  <c r="E142" i="4"/>
  <c r="D142" i="4"/>
  <c r="C142" i="4"/>
  <c r="B142" i="4"/>
  <c r="A142" i="4"/>
  <c r="F141" i="4"/>
  <c r="E141" i="4"/>
  <c r="D141" i="4"/>
  <c r="C141" i="4"/>
  <c r="B141" i="4"/>
  <c r="A141" i="4"/>
  <c r="F140" i="4"/>
  <c r="E140" i="4"/>
  <c r="D140" i="4"/>
  <c r="C140" i="4"/>
  <c r="B140" i="4"/>
  <c r="A140" i="4"/>
  <c r="F139" i="4"/>
  <c r="E139" i="4"/>
  <c r="D139" i="4"/>
  <c r="C139" i="4"/>
  <c r="B139" i="4"/>
  <c r="A139" i="4"/>
  <c r="F138" i="4"/>
  <c r="E138" i="4"/>
  <c r="D138" i="4"/>
  <c r="C138" i="4"/>
  <c r="B138" i="4"/>
  <c r="A138" i="4"/>
  <c r="F137" i="4"/>
  <c r="E137" i="4"/>
  <c r="D137" i="4"/>
  <c r="C137" i="4"/>
  <c r="B137" i="4"/>
  <c r="A137" i="4"/>
  <c r="F136" i="4"/>
  <c r="E136" i="4"/>
  <c r="D136" i="4"/>
  <c r="C136" i="4"/>
  <c r="B136" i="4"/>
  <c r="A136" i="4"/>
  <c r="F135" i="4"/>
  <c r="E135" i="4"/>
  <c r="D135" i="4"/>
  <c r="C135" i="4"/>
  <c r="B135" i="4"/>
  <c r="A135" i="4"/>
  <c r="F134" i="4"/>
  <c r="E134" i="4"/>
  <c r="D134" i="4"/>
  <c r="C134" i="4"/>
  <c r="B134" i="4"/>
  <c r="A134" i="4"/>
  <c r="F133" i="4"/>
  <c r="E133" i="4"/>
  <c r="D133" i="4"/>
  <c r="C133" i="4"/>
  <c r="B133" i="4"/>
  <c r="A133" i="4"/>
  <c r="F132" i="4"/>
  <c r="E132" i="4"/>
  <c r="D132" i="4"/>
  <c r="C132" i="4"/>
  <c r="B132" i="4"/>
  <c r="A132" i="4"/>
  <c r="F131" i="4"/>
  <c r="D131" i="4"/>
  <c r="C131" i="4"/>
  <c r="B131" i="4"/>
  <c r="A131" i="4"/>
  <c r="F130" i="4"/>
  <c r="E130" i="4"/>
  <c r="D130" i="4"/>
  <c r="C130" i="4"/>
  <c r="B130" i="4"/>
  <c r="A130" i="4"/>
  <c r="F129" i="4"/>
  <c r="E129" i="4"/>
  <c r="D129" i="4"/>
  <c r="C129" i="4"/>
  <c r="B129" i="4"/>
  <c r="A129" i="4"/>
  <c r="F128" i="4"/>
  <c r="E128" i="4"/>
  <c r="D128" i="4"/>
  <c r="C128" i="4"/>
  <c r="B128" i="4"/>
  <c r="A128" i="4"/>
  <c r="F127" i="4"/>
  <c r="E127" i="4"/>
  <c r="D127" i="4"/>
  <c r="C127" i="4"/>
  <c r="B127" i="4"/>
  <c r="A127" i="4"/>
  <c r="F126" i="4"/>
  <c r="E126" i="4"/>
  <c r="D126" i="4"/>
  <c r="C126" i="4"/>
  <c r="B126" i="4"/>
  <c r="A126" i="4"/>
  <c r="F125" i="4"/>
  <c r="D125" i="4"/>
  <c r="C125" i="4"/>
  <c r="F124" i="4"/>
  <c r="E124" i="4"/>
  <c r="D124" i="4"/>
  <c r="C124" i="4"/>
  <c r="B124" i="4"/>
  <c r="A124" i="4"/>
  <c r="F123" i="4"/>
  <c r="E123" i="4"/>
  <c r="D123" i="4"/>
  <c r="C123" i="4"/>
  <c r="B123" i="4"/>
  <c r="A123" i="4"/>
  <c r="F122" i="4"/>
  <c r="E122" i="4"/>
  <c r="D122" i="4"/>
  <c r="C122" i="4"/>
  <c r="B122" i="4"/>
  <c r="A122" i="4"/>
  <c r="F121" i="4"/>
  <c r="E121" i="4"/>
  <c r="D121" i="4"/>
  <c r="C121" i="4"/>
  <c r="B121" i="4"/>
  <c r="A121" i="4"/>
  <c r="F120" i="4"/>
  <c r="E120" i="4"/>
  <c r="D120" i="4"/>
  <c r="C120" i="4"/>
  <c r="B120" i="4"/>
  <c r="A120" i="4"/>
  <c r="F119" i="4"/>
  <c r="E119" i="4"/>
  <c r="D119" i="4"/>
  <c r="C119" i="4"/>
  <c r="B119" i="4"/>
  <c r="A119" i="4"/>
  <c r="F118" i="4"/>
  <c r="E118" i="4"/>
  <c r="D118" i="4"/>
  <c r="C118" i="4"/>
  <c r="B118" i="4"/>
  <c r="A118" i="4"/>
  <c r="F117" i="4"/>
  <c r="E117" i="4"/>
  <c r="D117" i="4"/>
  <c r="C117" i="4"/>
  <c r="B117" i="4"/>
  <c r="A117" i="4"/>
  <c r="F116" i="4"/>
  <c r="E116" i="4"/>
  <c r="D116" i="4"/>
  <c r="C116" i="4"/>
  <c r="B116" i="4"/>
  <c r="A116" i="4"/>
  <c r="F115" i="4"/>
  <c r="E115" i="4"/>
  <c r="D115" i="4"/>
  <c r="C115" i="4"/>
  <c r="B115" i="4"/>
  <c r="A115" i="4"/>
  <c r="F114" i="4"/>
  <c r="E114" i="4"/>
  <c r="D114" i="4"/>
  <c r="C114" i="4"/>
  <c r="B114" i="4"/>
  <c r="A114" i="4"/>
  <c r="F113" i="4"/>
  <c r="E113" i="4"/>
  <c r="D113" i="4"/>
  <c r="C113" i="4"/>
  <c r="B113" i="4"/>
  <c r="A113" i="4"/>
  <c r="F112" i="4"/>
  <c r="E112" i="4"/>
  <c r="D112" i="4"/>
  <c r="C112" i="4"/>
  <c r="F111" i="4"/>
  <c r="E111" i="4"/>
  <c r="D111" i="4"/>
  <c r="C111" i="4"/>
  <c r="B111" i="4"/>
  <c r="A111" i="4"/>
  <c r="F110" i="4"/>
  <c r="E110" i="4"/>
  <c r="D110" i="4"/>
  <c r="C110" i="4"/>
  <c r="B110" i="4"/>
  <c r="A110" i="4"/>
  <c r="F109" i="4"/>
  <c r="E109" i="4"/>
  <c r="D109" i="4"/>
  <c r="C109" i="4"/>
  <c r="F108" i="4"/>
  <c r="E108" i="4"/>
  <c r="D108" i="4"/>
  <c r="C108" i="4"/>
  <c r="B108" i="4"/>
  <c r="A108" i="4"/>
  <c r="F107" i="4"/>
  <c r="E107" i="4"/>
  <c r="D107" i="4"/>
  <c r="C107" i="4"/>
  <c r="B107" i="4"/>
  <c r="A107" i="4"/>
  <c r="F106" i="4"/>
  <c r="E106" i="4"/>
  <c r="D106" i="4"/>
  <c r="C106" i="4"/>
  <c r="B106" i="4"/>
  <c r="A106" i="4"/>
  <c r="F105" i="4"/>
  <c r="E105" i="4"/>
  <c r="D105" i="4"/>
  <c r="C105" i="4"/>
  <c r="B105" i="4"/>
  <c r="A105" i="4"/>
  <c r="F104" i="4"/>
  <c r="D104" i="4"/>
  <c r="C104" i="4"/>
  <c r="B104" i="4"/>
  <c r="A104" i="4"/>
  <c r="F103" i="4"/>
  <c r="E103" i="4"/>
  <c r="D103" i="4"/>
  <c r="C103" i="4"/>
  <c r="B103" i="4"/>
  <c r="A103" i="4"/>
  <c r="F102" i="4"/>
  <c r="E102" i="4"/>
  <c r="D102" i="4"/>
  <c r="C102" i="4"/>
  <c r="B102" i="4"/>
  <c r="A102" i="4"/>
  <c r="F101" i="4"/>
  <c r="E101" i="4"/>
  <c r="D101" i="4"/>
  <c r="C101" i="4"/>
  <c r="B101" i="4"/>
  <c r="A101" i="4"/>
  <c r="F100" i="4"/>
  <c r="E100" i="4"/>
  <c r="D100" i="4"/>
  <c r="C100" i="4"/>
  <c r="B100" i="4"/>
  <c r="A100" i="4"/>
  <c r="F99" i="4"/>
  <c r="E99" i="4"/>
  <c r="D99" i="4"/>
  <c r="C99" i="4"/>
  <c r="B99" i="4"/>
  <c r="A99" i="4"/>
  <c r="F98" i="4"/>
  <c r="E98" i="4"/>
  <c r="D98" i="4"/>
  <c r="C98" i="4"/>
  <c r="B98" i="4"/>
  <c r="A98" i="4"/>
  <c r="F97" i="4"/>
  <c r="E97" i="4"/>
  <c r="D97" i="4"/>
  <c r="C97" i="4"/>
  <c r="B97" i="4"/>
  <c r="A97" i="4"/>
  <c r="F96" i="4"/>
  <c r="E96" i="4"/>
  <c r="D96" i="4"/>
  <c r="C96" i="4"/>
  <c r="B96" i="4"/>
  <c r="A96" i="4"/>
  <c r="F95" i="4"/>
  <c r="E95" i="4"/>
  <c r="D95" i="4"/>
  <c r="C95" i="4"/>
  <c r="B95" i="4"/>
  <c r="A95" i="4"/>
  <c r="F94" i="4"/>
  <c r="E94" i="4"/>
  <c r="D94" i="4"/>
  <c r="C94" i="4"/>
  <c r="B94" i="4"/>
  <c r="A94" i="4"/>
  <c r="F93" i="4"/>
  <c r="E93" i="4"/>
  <c r="D93" i="4"/>
  <c r="C93" i="4"/>
  <c r="B93" i="4"/>
  <c r="A93" i="4"/>
  <c r="F92" i="4"/>
  <c r="E92" i="4"/>
  <c r="D92" i="4"/>
  <c r="C92" i="4"/>
  <c r="B92" i="4"/>
  <c r="A92" i="4"/>
  <c r="F91" i="4"/>
  <c r="E91" i="4"/>
  <c r="D91" i="4"/>
  <c r="C91" i="4"/>
  <c r="B91" i="4"/>
  <c r="A91" i="4"/>
  <c r="F90" i="4"/>
  <c r="E90" i="4"/>
  <c r="D90" i="4"/>
  <c r="C90" i="4"/>
  <c r="B90" i="4"/>
  <c r="A90" i="4"/>
  <c r="F89" i="4"/>
  <c r="E89" i="4"/>
  <c r="D89" i="4"/>
  <c r="C89" i="4"/>
  <c r="B89" i="4"/>
  <c r="A89" i="4"/>
  <c r="F88" i="4"/>
  <c r="E88" i="4"/>
  <c r="D88" i="4"/>
  <c r="C88" i="4"/>
  <c r="B88" i="4"/>
  <c r="A88" i="4"/>
  <c r="F87" i="4"/>
  <c r="E87" i="4"/>
  <c r="D87" i="4"/>
  <c r="C87" i="4"/>
  <c r="B87" i="4"/>
  <c r="A87" i="4"/>
  <c r="F86" i="4"/>
  <c r="E86" i="4"/>
  <c r="D86" i="4"/>
  <c r="C86" i="4"/>
  <c r="B86" i="4"/>
  <c r="A86" i="4"/>
  <c r="F85" i="4"/>
  <c r="E85" i="4"/>
  <c r="D85" i="4"/>
  <c r="C85" i="4"/>
  <c r="B85" i="4"/>
  <c r="A85" i="4"/>
  <c r="F84" i="4"/>
  <c r="E84" i="4"/>
  <c r="D84" i="4"/>
  <c r="C84" i="4"/>
  <c r="B84" i="4"/>
  <c r="A84" i="4"/>
  <c r="F83" i="4"/>
  <c r="E83" i="4"/>
  <c r="D83" i="4"/>
  <c r="C83" i="4"/>
  <c r="B83" i="4"/>
  <c r="A83" i="4"/>
  <c r="F82" i="4"/>
  <c r="E82" i="4"/>
  <c r="D82" i="4"/>
  <c r="C82" i="4"/>
  <c r="B82" i="4"/>
  <c r="A82" i="4"/>
  <c r="F81" i="4"/>
  <c r="E81" i="4"/>
  <c r="D81" i="4"/>
  <c r="C81" i="4"/>
  <c r="B81" i="4"/>
  <c r="A81" i="4"/>
  <c r="F80" i="4"/>
  <c r="E80" i="4"/>
  <c r="D80" i="4"/>
  <c r="C80" i="4"/>
  <c r="B80" i="4"/>
  <c r="A80" i="4"/>
  <c r="F79" i="4"/>
  <c r="E79" i="4"/>
  <c r="D79" i="4"/>
  <c r="C79" i="4"/>
  <c r="B79" i="4"/>
  <c r="A79" i="4"/>
  <c r="F78" i="4"/>
  <c r="E78" i="4"/>
  <c r="D78" i="4"/>
  <c r="C78" i="4"/>
  <c r="B78" i="4"/>
  <c r="A78" i="4"/>
  <c r="F77" i="4"/>
  <c r="E77" i="4"/>
  <c r="D77" i="4"/>
  <c r="C77" i="4"/>
  <c r="B77" i="4"/>
  <c r="A77" i="4"/>
  <c r="F76" i="4"/>
  <c r="E76" i="4"/>
  <c r="D76" i="4"/>
  <c r="C76" i="4"/>
  <c r="B76" i="4"/>
  <c r="A76" i="4"/>
  <c r="F75" i="4"/>
  <c r="E75" i="4"/>
  <c r="D75" i="4"/>
  <c r="C75" i="4"/>
  <c r="B75" i="4"/>
  <c r="A75" i="4"/>
  <c r="F74" i="4"/>
  <c r="E74" i="4"/>
  <c r="D74" i="4"/>
  <c r="C74" i="4"/>
  <c r="B74" i="4"/>
  <c r="A74" i="4"/>
  <c r="F73" i="4"/>
  <c r="E73" i="4"/>
  <c r="D73" i="4"/>
  <c r="C73" i="4"/>
  <c r="B73" i="4"/>
  <c r="A73" i="4"/>
  <c r="F72" i="4"/>
  <c r="E72" i="4"/>
  <c r="D72" i="4"/>
  <c r="C72" i="4"/>
  <c r="B72" i="4"/>
  <c r="A72" i="4"/>
  <c r="F71" i="4"/>
  <c r="E71" i="4"/>
  <c r="D71" i="4"/>
  <c r="C71" i="4"/>
  <c r="B71" i="4"/>
  <c r="A71" i="4"/>
  <c r="F70" i="4"/>
  <c r="E70" i="4"/>
  <c r="D70" i="4"/>
  <c r="C70" i="4"/>
  <c r="B70" i="4"/>
  <c r="A70" i="4"/>
  <c r="F69" i="4"/>
  <c r="E69" i="4"/>
  <c r="D69" i="4"/>
  <c r="C69" i="4"/>
  <c r="B69" i="4"/>
  <c r="A69" i="4"/>
  <c r="F68" i="4"/>
  <c r="E68" i="4"/>
  <c r="D68" i="4"/>
  <c r="C68" i="4"/>
  <c r="B68" i="4"/>
  <c r="A68" i="4"/>
  <c r="F67" i="4"/>
  <c r="E67" i="4"/>
  <c r="D67" i="4"/>
  <c r="C67" i="4"/>
  <c r="B67" i="4"/>
  <c r="A67" i="4"/>
  <c r="F66" i="4"/>
  <c r="E66" i="4"/>
  <c r="D66" i="4"/>
  <c r="C66" i="4"/>
  <c r="B66" i="4"/>
  <c r="A66" i="4"/>
  <c r="F65" i="4"/>
  <c r="E65" i="4"/>
  <c r="D65" i="4"/>
  <c r="C65" i="4"/>
  <c r="B65" i="4"/>
  <c r="A65" i="4"/>
  <c r="F64" i="4"/>
  <c r="E64" i="4"/>
  <c r="D64" i="4"/>
  <c r="C64" i="4"/>
  <c r="B64" i="4"/>
  <c r="A64" i="4"/>
  <c r="F63" i="4"/>
  <c r="E63" i="4"/>
  <c r="D63" i="4"/>
  <c r="C63" i="4"/>
  <c r="B63" i="4"/>
  <c r="A63" i="4"/>
  <c r="F62" i="4"/>
  <c r="E62" i="4"/>
  <c r="D62" i="4"/>
  <c r="C62" i="4"/>
  <c r="A62" i="4"/>
  <c r="F61" i="4"/>
  <c r="E61" i="4"/>
  <c r="D61" i="4"/>
  <c r="C61" i="4"/>
  <c r="B61" i="4"/>
  <c r="A61" i="4"/>
  <c r="F60" i="4"/>
  <c r="E60" i="4"/>
  <c r="D60" i="4"/>
  <c r="C60" i="4"/>
  <c r="B60" i="4"/>
  <c r="A60" i="4"/>
  <c r="F59" i="4"/>
  <c r="E59" i="4"/>
  <c r="D59" i="4"/>
  <c r="C59" i="4"/>
  <c r="B59" i="4"/>
  <c r="A59" i="4"/>
  <c r="F58" i="4"/>
  <c r="E58" i="4"/>
  <c r="D58" i="4"/>
  <c r="C58" i="4"/>
  <c r="B58" i="4"/>
  <c r="A58" i="4"/>
  <c r="F57" i="4"/>
  <c r="E57" i="4"/>
  <c r="D57" i="4"/>
  <c r="C57" i="4"/>
  <c r="B57" i="4"/>
  <c r="A57" i="4"/>
  <c r="F56" i="4"/>
  <c r="E56" i="4"/>
  <c r="D56" i="4"/>
  <c r="C56" i="4"/>
  <c r="B56" i="4"/>
  <c r="A56" i="4"/>
  <c r="F55" i="4"/>
  <c r="E55" i="4"/>
  <c r="D55" i="4"/>
  <c r="C55" i="4"/>
  <c r="B55" i="4"/>
  <c r="A55" i="4"/>
  <c r="F54" i="4"/>
  <c r="E54" i="4"/>
  <c r="D54" i="4"/>
  <c r="C54" i="4"/>
  <c r="B54" i="4"/>
  <c r="A54" i="4"/>
  <c r="F53" i="4"/>
  <c r="E53" i="4"/>
  <c r="D53" i="4"/>
  <c r="C53" i="4"/>
  <c r="B53" i="4"/>
  <c r="A53" i="4"/>
  <c r="F52" i="4"/>
  <c r="E52" i="4"/>
  <c r="D52" i="4"/>
  <c r="C52" i="4"/>
  <c r="B52" i="4"/>
  <c r="A52" i="4"/>
  <c r="F51" i="4"/>
  <c r="E51" i="4"/>
  <c r="D51" i="4"/>
  <c r="C51" i="4"/>
  <c r="B51" i="4"/>
  <c r="A51" i="4"/>
  <c r="E50" i="4"/>
  <c r="D50" i="4"/>
  <c r="C50" i="4"/>
  <c r="B50" i="4"/>
  <c r="A50" i="4"/>
  <c r="E49" i="4"/>
  <c r="D49" i="4"/>
  <c r="C49" i="4"/>
  <c r="B49" i="4"/>
  <c r="F48" i="4"/>
  <c r="E48" i="4"/>
  <c r="D48" i="4"/>
  <c r="C48" i="4"/>
  <c r="B48" i="4"/>
  <c r="A48" i="4"/>
  <c r="F47" i="4"/>
  <c r="E47" i="4"/>
  <c r="D47" i="4"/>
  <c r="C47" i="4"/>
  <c r="B47" i="4"/>
  <c r="A47" i="4"/>
  <c r="F46" i="4"/>
  <c r="E46" i="4"/>
  <c r="D46" i="4"/>
  <c r="C46" i="4"/>
  <c r="B46" i="4"/>
  <c r="A46" i="4"/>
  <c r="F45" i="4"/>
  <c r="E45" i="4"/>
  <c r="D45" i="4"/>
  <c r="C45" i="4"/>
  <c r="B45" i="4"/>
  <c r="A45" i="4"/>
  <c r="F44" i="4"/>
  <c r="E44" i="4"/>
  <c r="D44" i="4"/>
  <c r="C44" i="4"/>
  <c r="B44" i="4"/>
  <c r="A44" i="4"/>
  <c r="F43" i="4"/>
  <c r="E43" i="4"/>
  <c r="D43" i="4"/>
  <c r="C43" i="4"/>
  <c r="B43" i="4"/>
  <c r="A43" i="4"/>
  <c r="F42" i="4"/>
  <c r="E42" i="4"/>
  <c r="D42" i="4"/>
  <c r="C42" i="4"/>
  <c r="B42" i="4"/>
  <c r="A42" i="4"/>
  <c r="F41" i="4"/>
  <c r="E41" i="4"/>
  <c r="D41" i="4"/>
  <c r="C41" i="4"/>
  <c r="B41" i="4"/>
  <c r="A41" i="4"/>
  <c r="F40" i="4"/>
  <c r="E40" i="4"/>
  <c r="D40" i="4"/>
  <c r="C40" i="4"/>
  <c r="B40" i="4"/>
  <c r="A40" i="4"/>
  <c r="F39" i="4"/>
  <c r="D39" i="4"/>
  <c r="C39" i="4"/>
  <c r="B39" i="4"/>
  <c r="A39" i="4"/>
  <c r="F38" i="4"/>
  <c r="E38" i="4"/>
  <c r="D38" i="4"/>
  <c r="C38" i="4"/>
  <c r="B38" i="4"/>
  <c r="A38" i="4"/>
  <c r="F37" i="4"/>
  <c r="E37" i="4"/>
  <c r="D37" i="4"/>
  <c r="C37" i="4"/>
  <c r="B37" i="4"/>
  <c r="A37" i="4"/>
  <c r="E36" i="4"/>
  <c r="D36" i="4"/>
  <c r="C36" i="4"/>
  <c r="B36" i="4"/>
  <c r="A36" i="4"/>
  <c r="F35" i="4"/>
  <c r="E35" i="4"/>
  <c r="D35" i="4"/>
  <c r="C35" i="4"/>
  <c r="B35" i="4"/>
  <c r="A35" i="4"/>
  <c r="F34" i="4"/>
  <c r="E34" i="4"/>
  <c r="D34" i="4"/>
  <c r="C34" i="4"/>
  <c r="B34" i="4"/>
  <c r="A34" i="4"/>
  <c r="F33" i="4"/>
  <c r="E33" i="4"/>
  <c r="D33" i="4"/>
  <c r="C33" i="4"/>
  <c r="B33" i="4"/>
  <c r="A33" i="4"/>
  <c r="F32" i="4"/>
  <c r="E32" i="4"/>
  <c r="D32" i="4"/>
  <c r="C32" i="4"/>
  <c r="B32" i="4"/>
  <c r="A32" i="4"/>
  <c r="F31" i="4"/>
  <c r="E31" i="4"/>
  <c r="D31" i="4"/>
  <c r="C31" i="4"/>
  <c r="B31" i="4"/>
  <c r="A31" i="4"/>
  <c r="F30" i="4"/>
  <c r="E30" i="4"/>
  <c r="D30" i="4"/>
  <c r="C30" i="4"/>
  <c r="B30" i="4"/>
  <c r="A30" i="4"/>
  <c r="F29" i="4"/>
  <c r="E29" i="4"/>
  <c r="D29" i="4"/>
  <c r="C29" i="4"/>
  <c r="B29" i="4"/>
  <c r="A29" i="4"/>
  <c r="F28" i="4"/>
  <c r="E28" i="4"/>
  <c r="D28" i="4"/>
  <c r="C28" i="4"/>
  <c r="B28" i="4"/>
  <c r="A28" i="4"/>
  <c r="F27" i="4"/>
  <c r="E27" i="4"/>
  <c r="D27" i="4"/>
  <c r="C27" i="4"/>
  <c r="B27" i="4"/>
  <c r="A27" i="4"/>
  <c r="F26" i="4"/>
  <c r="E26" i="4"/>
  <c r="D26" i="4"/>
  <c r="C26" i="4"/>
  <c r="B26" i="4"/>
  <c r="A26" i="4"/>
  <c r="F25" i="4"/>
  <c r="E25" i="4"/>
  <c r="D25" i="4"/>
  <c r="C25" i="4"/>
  <c r="B25" i="4"/>
  <c r="A25" i="4"/>
  <c r="F24" i="4"/>
  <c r="E24" i="4"/>
  <c r="D24" i="4"/>
  <c r="C24" i="4"/>
  <c r="B24" i="4"/>
  <c r="A24" i="4"/>
  <c r="F23" i="4"/>
  <c r="E23" i="4"/>
  <c r="D23" i="4"/>
  <c r="C23" i="4"/>
  <c r="B23" i="4"/>
  <c r="A23" i="4"/>
  <c r="F22" i="4"/>
  <c r="E22" i="4"/>
  <c r="D22" i="4"/>
  <c r="C22" i="4"/>
  <c r="B22" i="4"/>
  <c r="A22" i="4"/>
  <c r="F21" i="4"/>
  <c r="E21" i="4"/>
  <c r="D21" i="4"/>
  <c r="C21" i="4"/>
  <c r="B21" i="4"/>
  <c r="A21" i="4"/>
  <c r="F20" i="4"/>
  <c r="E20" i="4"/>
  <c r="D20" i="4"/>
  <c r="C20" i="4"/>
  <c r="B20" i="4"/>
  <c r="A20" i="4"/>
  <c r="F19" i="4"/>
  <c r="D19" i="4"/>
  <c r="C19" i="4"/>
  <c r="B19" i="4"/>
  <c r="F18" i="4"/>
  <c r="E18" i="4"/>
  <c r="D18" i="4"/>
  <c r="C18" i="4"/>
  <c r="B18" i="4"/>
  <c r="A18" i="4"/>
  <c r="F17" i="4"/>
  <c r="E17" i="4"/>
  <c r="D17" i="4"/>
  <c r="C17" i="4"/>
  <c r="B17" i="4"/>
  <c r="A17" i="4"/>
  <c r="F16" i="4"/>
  <c r="E16" i="4"/>
  <c r="D16" i="4"/>
  <c r="C16" i="4"/>
  <c r="B16" i="4"/>
  <c r="A16" i="4"/>
  <c r="F15" i="4"/>
  <c r="E15" i="4"/>
  <c r="D15" i="4"/>
  <c r="C15" i="4"/>
  <c r="B15" i="4"/>
  <c r="A15" i="4"/>
  <c r="F14" i="4"/>
  <c r="E14" i="4"/>
  <c r="D14" i="4"/>
  <c r="C14" i="4"/>
  <c r="B14" i="4"/>
  <c r="A14" i="4"/>
  <c r="F13" i="4"/>
  <c r="E13" i="4"/>
  <c r="D13" i="4"/>
  <c r="C13" i="4"/>
  <c r="B13" i="4"/>
  <c r="A13" i="4"/>
  <c r="F12" i="4"/>
  <c r="E12" i="4"/>
  <c r="D12" i="4"/>
  <c r="C12" i="4"/>
  <c r="B12" i="4"/>
  <c r="A12" i="4"/>
  <c r="F11" i="4"/>
  <c r="E11" i="4"/>
  <c r="D11" i="4"/>
  <c r="C11" i="4"/>
  <c r="B11" i="4"/>
  <c r="A11" i="4"/>
  <c r="F10" i="4"/>
  <c r="E10" i="4"/>
  <c r="D10" i="4"/>
  <c r="C10" i="4"/>
  <c r="B10" i="4"/>
  <c r="A10" i="4"/>
  <c r="F9" i="4"/>
  <c r="E9" i="4"/>
  <c r="D9" i="4"/>
  <c r="C9" i="4"/>
  <c r="B9" i="4"/>
  <c r="A9" i="4"/>
  <c r="F8" i="4"/>
  <c r="E8" i="4"/>
  <c r="D8" i="4"/>
  <c r="C8" i="4"/>
  <c r="B8" i="4"/>
  <c r="A8" i="4"/>
  <c r="F7" i="4"/>
  <c r="E7" i="4"/>
  <c r="D7" i="4"/>
  <c r="C7" i="4"/>
  <c r="B7" i="4"/>
  <c r="A7" i="4"/>
  <c r="F6" i="4"/>
  <c r="E6" i="4"/>
  <c r="D6" i="4"/>
  <c r="C6" i="4"/>
  <c r="B6" i="4"/>
  <c r="A6" i="4"/>
  <c r="F5" i="4"/>
  <c r="E5" i="4"/>
  <c r="D5" i="4"/>
  <c r="C5" i="4"/>
  <c r="B5" i="4"/>
  <c r="A5" i="4"/>
  <c r="F4" i="4"/>
  <c r="E4" i="4"/>
  <c r="C4" i="4"/>
  <c r="F3" i="4"/>
  <c r="E3" i="4"/>
  <c r="D3" i="4"/>
  <c r="C3" i="4"/>
  <c r="B3" i="4"/>
  <c r="A3" i="4"/>
  <c r="F2" i="4"/>
  <c r="E2" i="4"/>
  <c r="D2" i="4"/>
  <c r="C2" i="4"/>
  <c r="B2" i="4"/>
  <c r="A2" i="4"/>
</calcChain>
</file>

<file path=xl/sharedStrings.xml><?xml version="1.0" encoding="utf-8"?>
<sst xmlns="http://schemas.openxmlformats.org/spreadsheetml/2006/main" count="6028" uniqueCount="4458">
  <si>
    <t>Ταξιθετικός αρ. τεκμηρίου</t>
  </si>
  <si>
    <t>Δημόσια σημείωση (public note) τεκμηρίου</t>
  </si>
  <si>
    <t>Έκδοση</t>
  </si>
  <si>
    <t>Στοιχεία έκδοσης / εκδοτικού οίκου</t>
  </si>
  <si>
    <t>Τίτλος</t>
  </si>
  <si>
    <t>Συγγραφέας</t>
  </si>
  <si>
    <t>348(430) FraA l 1899</t>
  </si>
  <si>
    <t>Αίθουσα Σπάνιου υλικού</t>
  </si>
  <si>
    <t>3., verm. und verb. Aufl.</t>
  </si>
  <si>
    <t>Göttingen : Vandenhoeck und Ruprecht, 1899.</t>
  </si>
  <si>
    <t>Lehrbuch des Kirchenrechts / von Ad. Frantz</t>
  </si>
  <si>
    <t>Frantz, Adolph, 1851-1908.</t>
  </si>
  <si>
    <t>271.2-918" ΠαπΓ σ 1895 1"</t>
  </si>
  <si>
    <t>Αίθουσα Ιστορίας, Θεωρίας και Φιλοσοφίας του Δικαίου</t>
  </si>
  <si>
    <t>Εν Αθήναις : Τυπογραφείον Αλεξ. Παπαγεωργίου, 1895-</t>
  </si>
  <si>
    <t>Η Σύγχρονος ιεραρχία της Ορθοδόξου Ανατολικής Εκκλησίας / Γεωργίου Ι. Παπαδοπούλου.</t>
  </si>
  <si>
    <t>Παπαδόπουλος, Γεώργιος Ι.</t>
  </si>
  <si>
    <t>34(560)(094.9) BelN a 1964 2</t>
  </si>
  <si>
    <t>Paris : Mouton, 1960-</t>
  </si>
  <si>
    <t>Les actes des premiers sultans conservés dans les manuscrits turcs de la Bibliothèque nationale a Paris / par Nicoară Beldiceanu.</t>
  </si>
  <si>
    <t>Beldiceanu, Nicoară, 1920-</t>
  </si>
  <si>
    <t>322(470+571) GoeL s 1908</t>
  </si>
  <si>
    <t>Berlin : Duncker, 1908.</t>
  </si>
  <si>
    <t>Staat und Kirche in Altrussland : Kiever periode 988-1240 = Gosudarstvo i tserkov v' drevnei Rossii von Leopold Karl Goetz.</t>
  </si>
  <si>
    <t>Goetz, Leopold Karl, 1868-1931.</t>
  </si>
  <si>
    <t>347.957 ΠαπΑ α 2018</t>
  </si>
  <si>
    <t>Αίθουσα Αστικού και Αστικού Δικονομικού Δικαίου</t>
  </si>
  <si>
    <t>Αθήνα : Νομική Βιβλιοθήκη, 2018.</t>
  </si>
  <si>
    <t>Ο αναιρετικός έλεγχος της αρχής της αναλογικότητας στην πολιτική δίκη : πεδίο λειτουργίας, διάκριση πραγματικού-νομικού ζητήματος, εξειδίκευση αόριστων νομικών εννοιών, εύλογη χρηματική ικανοποίηση αρθρ. 932 ΑΚ / Ανδρέας Α. Παπαστάθης ; πρόλογος Δημήτριος Α. Τσικρικάς.</t>
  </si>
  <si>
    <t>Παπαστάθης, Ανδρέας Α.</t>
  </si>
  <si>
    <t>347.952(495) ΑδαΙ α 2013</t>
  </si>
  <si>
    <t>Αθήνα : [χ.ε.], 2013.</t>
  </si>
  <si>
    <t>Αναγκαστική εκτέλεση : νομολογιακές συνθέσεις / Γιάννης Δ. Αδαμόπουλος</t>
  </si>
  <si>
    <t>Αδαμόπουλος, Γιάννης Δ.</t>
  </si>
  <si>
    <t>736.2(392) WieT d 1958 2</t>
  </si>
  <si>
    <t>Berlin : Mann, 1958.</t>
  </si>
  <si>
    <t>Didyma / Theodor Wiegand.</t>
  </si>
  <si>
    <t>Wiegand, Theodor, 1864-1936.</t>
  </si>
  <si>
    <t>347:366.5(063) VER 2015</t>
  </si>
  <si>
    <t>Berlin : de Gruyter, [2015]</t>
  </si>
  <si>
    <t>Verbraucherleitbilder : interdisziplinäre und europäische Perspektiven / herausgegeben von Fabian Klinck und Karl Riesenhuber.</t>
  </si>
  <si>
    <t>347.78(063) INT2009 u 2010</t>
  </si>
  <si>
    <t>Αίθουσα Αστικού και Αστικού Δικονομικού Δικάιου</t>
  </si>
  <si>
    <t>Berlin : De Gruyter Recht, 2010.</t>
  </si>
  <si>
    <t>Das Urhebervertragsrecht im Lichte der Verhaltensökonomik : INTERGU-Tagung 2009 / herausgegeben von Karl Riesenhuber und Lars Klöhn.</t>
  </si>
  <si>
    <t>341.9 ΠαμΧ ι 2018</t>
  </si>
  <si>
    <t>Αίθουσα Διεθνούς δικαίου και Εμπορικού δικαίου</t>
  </si>
  <si>
    <t>Ιδιωτικό διθνές δίκαιο: / Χάρης Π. Παμπούκης.</t>
  </si>
  <si>
    <t>Παμπούκης, Χάρης Π.</t>
  </si>
  <si>
    <t>347.9 ΠανΑ δ 2018</t>
  </si>
  <si>
    <t>Αθήνα ; Θεσσαλονίκη : Εκδ. Σάκκουλα, 2018.</t>
  </si>
  <si>
    <t>Η δίκη λογοδοσίας και ομάδας αντικειμένων / Αθανάσιος Πανταζόπουλος ; πρόλογος: Στέλιος Σταματόπουλος.</t>
  </si>
  <si>
    <t>Πανταζόπουλος, Αθανάσιος Π.</t>
  </si>
  <si>
    <t>347.921.2 ΜηχΔ α 2018</t>
  </si>
  <si>
    <t>Η αναγκαστική ομοδικία στην πολιτική δίκη / Δημήτριος Κ. Μηχιώτης.</t>
  </si>
  <si>
    <t>Μηχιώτης, Δημήτριος Κ.</t>
  </si>
  <si>
    <t>349.22(063) ZAA2011 f 2011</t>
  </si>
  <si>
    <t>Αίθουσα Ποινικού Δικαίου και Εργατικού Δικαίου</t>
  </si>
  <si>
    <t>München : ZAAR Verlag, 2011.</t>
  </si>
  <si>
    <t>Finanzkriseninduzierte Vergütungsregulierung und arbeitsrechtliche Entgeltsysteme : 8. ZAAR-Kongress, München, 13. Mai 2011 / Volker Rieble. Abbo Junker und Richard Giesen (Herasugeber).</t>
  </si>
  <si>
    <t>Zentrum für Arbeitsbeziehungen und Arbeitsrecht. Kongress (8. : 2011 : Münchem)</t>
  </si>
  <si>
    <t>349.6(063) PEH 2018</t>
  </si>
  <si>
    <t>Αθήνα ; Θεσσαλονίκη : Σάκκουλας, 2018.</t>
  </si>
  <si>
    <t>Protecting the environment from human intervention : legal and criminological aspcets / University of Cyprus, Ίδρυμα Διεθνών Νομικών Μελετών.</t>
  </si>
  <si>
    <t>347.5 WitC s 2018</t>
  </si>
  <si>
    <t>15th ed.</t>
  </si>
  <si>
    <t>Oxford, United Kingdom ; New York : Oxford University Press, [2018]</t>
  </si>
  <si>
    <t>Street on torts / Christian Witting.</t>
  </si>
  <si>
    <t>Witting, Christian A.</t>
  </si>
  <si>
    <t>34(37)(093.2) ΠαπΛ σ 2006</t>
  </si>
  <si>
    <t>Αθήνα : Ακαδημία Αθηνών, 2006.</t>
  </si>
  <si>
    <t>Στοιχεία ελληνικών επιδράσεων στα λατινικά κείμενα του Corpus Juris Civilis : αποσπάσματα από την αρχαιοελληνική γραμματεία / Λυδία Παπαρρήγα-Αρτεμιάδη.</t>
  </si>
  <si>
    <t>Παπαρρήγα-Αρτεμιάδη, Λυδία.</t>
  </si>
  <si>
    <t>342.9(4) ΣΕ a 2018</t>
  </si>
  <si>
    <t>Αίθουσα Δημοσίου Δικαίου</t>
  </si>
  <si>
    <t>Strasbourg : Council of Europe, 2018.</t>
  </si>
  <si>
    <t>The administration and you : a hanbook, principles of administrative law concerning relations between individuals and public authorities.</t>
  </si>
  <si>
    <t>342.4 ΒλαΑ σ 2018</t>
  </si>
  <si>
    <t>Αθήνα ; Θεσσαλονίκη : Εκδόσεις Σάκκουλα, 2018.</t>
  </si>
  <si>
    <t>Το Σύνταγμα στη νέα ευρωπαϊκή οικονομική διακυβέρνηση : τάσεις και αλλοιώσεις του εθνικού συνταγματισμού / Απόστολος Βλαχογιάννης.</t>
  </si>
  <si>
    <t>Βλαχογιάννης, Απόστολος.</t>
  </si>
  <si>
    <t>342.34 ΤσαΣ α 2018</t>
  </si>
  <si>
    <t>Αθήνα : Μεταίχμιο, 2018.</t>
  </si>
  <si>
    <t>Από πού κι ως πού όλοι οι αγώνες είναι δίκαιοι; : μια συζήτηση με τον Απόστολο Δοξιάδη για τη δημοκρατία στην Ελλάδα της Μεταπολίτευσης / Σταύρος Τσακυράκης.</t>
  </si>
  <si>
    <t>Τσακυράκης, Σταύρος, 1951-</t>
  </si>
  <si>
    <t>343(410)(076) HuxR c 2013</t>
  </si>
  <si>
    <t>3rd ed..</t>
  </si>
  <si>
    <t>Oxford, United Kingdom : Oxford University Press, [2013]</t>
  </si>
  <si>
    <t>Criminal law / Rebecca Huxley-Binns.</t>
  </si>
  <si>
    <t>Huxley-Binns, Rebecca.</t>
  </si>
  <si>
    <t>3η έκδ., ανανεωμένη και εμπλουτισμένη</t>
  </si>
  <si>
    <t>Διοικητικό δικονομικό δίκαιο / Πάνος Λαζαράτος.</t>
  </si>
  <si>
    <t>Λαζαράτος, Πάνος Κ.</t>
  </si>
  <si>
    <t>351.824.11 ΦορΘ δ 2016</t>
  </si>
  <si>
    <t>Αθήνα : Νομική Βιβλιοθήκη, 2016.</t>
  </si>
  <si>
    <t>Δίκαιο της ενέργειας/ Θεόδωρος Π. Φορτσάκης, Νικόλαος Ε. Φαραντούρης ; συνεργασία Δημήτρης Παπαδόπουλος ... [κ. ά.].</t>
  </si>
  <si>
    <t>Φορτσάκης, Θεόδωρος Π.</t>
  </si>
  <si>
    <t>351.72 ΜπαΝ σ 2018</t>
  </si>
  <si>
    <t>7η έκδ.</t>
  </si>
  <si>
    <t>Στοιχεία δημοσιονομικού δικαίου : κρατικός προϋπολογισμός, Ελεγκτικό Συνέδριο, δημόσια οικονομικά της Ε.Ε. / Νικόλαος Μπάρμπας.</t>
  </si>
  <si>
    <t>Μπάρμπας, Νικόλαος Ι.</t>
  </si>
  <si>
    <t>342(495)(091) ΚαλΔ σ 2017</t>
  </si>
  <si>
    <t>Αθήνα : Εκδόσεις ΚΨΜ, 2017.</t>
  </si>
  <si>
    <t>Συνταγματική ιστορία της Ελλάδας : 1821-2001 / Δημήτρης Καλτσώνης.</t>
  </si>
  <si>
    <t>Καλτσώνης, Δημήτρης.</t>
  </si>
  <si>
    <t>35 ΚτιΣ ε 2014</t>
  </si>
  <si>
    <t>Αθήνα : Εκδόσεις Παπαζήση, 2014.</t>
  </si>
  <si>
    <t>Εισαγωγή στη δημόσια διοίκηση / Σταυρούλα Ν. Κτιστάκη.</t>
  </si>
  <si>
    <t>Κτιστάκη, Σταυρούλα Ν.</t>
  </si>
  <si>
    <t>351.712 ΜουΧ δ 2018</t>
  </si>
  <si>
    <t>Διαφάνεια, ακεραιότητα και εντιμότητα στις δημόσιες συμβάσεις : η σταδιακή αφομοίωση του διεθνούς soft law σε επίπεδο δημοσίων συμβάσεων / Χρυσούλα Π. Μουκίου ; πρόλογος Γ. Σ. Κούρτης.</t>
  </si>
  <si>
    <t>Μουκίου, Χρυσούλα Π.</t>
  </si>
  <si>
    <t>342(495) ΡαιΑ γ 2018</t>
  </si>
  <si>
    <t>5η έκδ.</t>
  </si>
  <si>
    <t>Γενική πολιτειολογία &amp; συνταγματικό δίκαιο : οργανωτικό μέρος II / Αθανάσιος Γ. Ράικος.</t>
  </si>
  <si>
    <t>Ράικος, Αθανάσιος Γ.</t>
  </si>
  <si>
    <t>02(091) BarF h/ι 2001</t>
  </si>
  <si>
    <t>Γραφείο προσωπικού</t>
  </si>
  <si>
    <t>Αθήνα : Μεταίχμιο, 2002.</t>
  </si>
  <si>
    <t>Ιστορία του βιβλίου/ Frederic Barbier ; μετάφραση Μαρία Παπαηλιάδη.</t>
  </si>
  <si>
    <t>Barbier, Frederic.</t>
  </si>
  <si>
    <t>069 LorG m/ε 2017</t>
  </si>
  <si>
    <t>Αθήνα : Εκδόσεις Δίσιγμα, 2017.</t>
  </si>
  <si>
    <t>Manual of museum management. Ελληνικά;"Εγχειρίδιο διοίκησης μουσείων : σύγχρονες προσεγγίσεις και παραδείγματα από την ελληνική πραγματικότητα / Gail Dexter Lord</t>
  </si>
  <si>
    <t>Lord, Gail Dexter, 1946-</t>
  </si>
  <si>
    <t>343.352 ΖιοΔ δ 2016</t>
  </si>
  <si>
    <t>Αθήνα : Νομική Βιβλιοθήκη, c2016.</t>
  </si>
  <si>
    <t>Δίκαιο &amp; πολιτική κατά της διαφθοράς : ποινικό δίκαιο, διοικητικό δίκαιο, αντεγκληματική πολιτική στην Ελλάδα και διεθνώς = anti-corruption law and policy / Ιωάννης-Σπυρίδων Τέντες ... [κ.ά.] ; (επιμ.) Δημήτρης Ζιούβας ; πρόλογος Προκόπιος Παυλόπουλος.</t>
  </si>
  <si>
    <t>070(091) ΜπαΧ ε 2012</t>
  </si>
  <si>
    <t>Αθήνα : Παπαζήσης, 2012.</t>
  </si>
  <si>
    <t>Το επόμενο βήμα του Γουτεμβέργιου : οι εκδοτικοί οίκοι στην Ελλάδα στις αρχές του 21ου αιώνα / Χριστίνα Μπάνου.</t>
  </si>
  <si>
    <t>Μπάνου, Χριστίνα.</t>
  </si>
  <si>
    <t>070(091) RicB p/τ 2014</t>
  </si>
  <si>
    <t>Αθήνα : Μορφωτικό Ιδρυμα Εθνικής Τραπέζης, 2014.</t>
  </si>
  <si>
    <t>Printing, writers, and readers in Renaissance Italy. Ελληνικά.;"Τυπογραφία</t>
  </si>
  <si>
    <t>Richardson, Brian (Brian F.)</t>
  </si>
  <si>
    <t>930.85(5-15) AssJ k/π 2017</t>
  </si>
  <si>
    <t>Ηράκλειο : Πανεπιστημιακές Εκδόσεις Κρήτης, 2017.</t>
  </si>
  <si>
    <t>Kulturelle Gedächtnis. Ελληνικά;"Η πολιτισμική μνήμη : γραφή</t>
  </si>
  <si>
    <t>Assmann, Jan.</t>
  </si>
  <si>
    <t>070 ThoJ m/ε 2017</t>
  </si>
  <si>
    <t>Αθήνα : Πεδίο, 2017.</t>
  </si>
  <si>
    <t>Merchants of culture. Ελληνικά;"Οι έμποροι της κουλτούρας : η εκδοτική βιομηχανία του εικοστού πρώτου αιώνα / John B. Thompson ; επιστημονική επιμέλεια-πρόλογος Άννα Καρακατσούλη ; μετάφραση Παυλίνα Χατζηγεωργίου</t>
  </si>
  <si>
    <t>Thompson, John B. (John Brookshire)</t>
  </si>
  <si>
    <t>658 KinA m/δ 2017</t>
  </si>
  <si>
    <t>Αίθουσα Διεθνούς Δικαίου και Εμπορικού Δικαίου</t>
  </si>
  <si>
    <t>6η έκδ.</t>
  </si>
  <si>
    <t>Θεσσαλονίκη : Εκδόσεις Επίκεντρο, 2017.</t>
  </si>
  <si>
    <t>Management: a practical introduction. Ελληνικά;"Διοίκηση επιχειρήσεων : μια πρακτική εισαγωγή / Angelo Kinicki</t>
  </si>
  <si>
    <t>Kinicki, Angelo.</t>
  </si>
  <si>
    <t>658 ΜποΔ ε 2015</t>
  </si>
  <si>
    <t>3η έκδ.</t>
  </si>
  <si>
    <t>Αθήνα : Ε. Μπένου, 2015.</t>
  </si>
  <si>
    <t>Εισαγωγή στη διοίκηση επιχειρήσεων / Δημήτρης Κ. Μπουραντάς.</t>
  </si>
  <si>
    <t>Μπουραντάς, Δημήτρης Κ.</t>
  </si>
  <si>
    <t>2η έκδ.</t>
  </si>
  <si>
    <t>Αθήνα : Νομική Βιβλιοθήκη, 2018</t>
  </si>
  <si>
    <t>34:004 ΓιαΓ ε 2018</t>
  </si>
  <si>
    <t>Εισαγωγή στη νομική πληροφορική : μια πρώτη προσέγγιση της σχέσης δικαίου &amp; νέων τεχνολογιών / Γιώργος Ν. Γιαννόπουλος.</t>
  </si>
  <si>
    <t>Γιαννόπουλος, Γιώργος Ν., 1936-</t>
  </si>
  <si>
    <t>347.73(4-672EU) ΧρυΜ ε 2018</t>
  </si>
  <si>
    <t>Ευρωπαϊκή Οικονομική Διακυβέρνηση : οικοδόμηση, εμβάθυνση, ζητήματα δημοκρατίας και κράτους δικαίου / Μιχάλης Δ. Χρυσομάλλης.</t>
  </si>
  <si>
    <t>Χρυσομάλλης, Μιχάλης Δ.</t>
  </si>
  <si>
    <t>338(4)(091) PerK e/ο 2018</t>
  </si>
  <si>
    <t>Αθήνα : Εκδόσεις Διπλογραφία, 2018.</t>
  </si>
  <si>
    <t>An economic history of Europe: knowledge, institutions and growth, 600 to the present. Ελληνικά;"Οικονομική ιστορία της Ευρώπης : γνώση</t>
  </si>
  <si>
    <t>343.985 ΜπαΕ σ 2018</t>
  </si>
  <si>
    <t>Αθήνα : Νομική βιβλιοθήκη, c2018.</t>
  </si>
  <si>
    <t>Σύγχρονη διακυβέρνηση και έλεγχος του εγκλήματος / Εριφύλη Μπακιρλή ; πρόλογος Έφη Λαμπροπούλου.</t>
  </si>
  <si>
    <t>Μπακιρλή, Εριφύλη.</t>
  </si>
  <si>
    <t>Αθήνα : Νομική Βιβλιοθήκη, c2019.</t>
  </si>
  <si>
    <t>Η αρχή της εύνοιας στο εργατικό δίκαιο : συσχετισμός διαφορετικών πηγών δικαίου, συρροή ΣΣΕ, κανονισμοί εργασίας / Αμαλία Λεβέντη ; πρόλογος: Κώστας Δ. Παπαδημητρίου.</t>
  </si>
  <si>
    <t>Λεβέντη, Αμαλία Γ.</t>
  </si>
  <si>
    <t>349.233 ΛεβΑ α 2019</t>
  </si>
  <si>
    <t>341.123 ΔιπΧ η 2018</t>
  </si>
  <si>
    <t>Τα Ηνωμένα Έθνη και οι νέες προκήσεις στο διεθνές στερέωμα : διεθνής ειρήνη και ασφάλεια, ανθρώπινα δικαιώματα, βιώσιμη ανάπτυξη / Χαριτίνη Δίπλα (επιμέλεια) ; συνεργασία-μετάφραση Αντωνία Ζερβάκη.</t>
  </si>
  <si>
    <t>069(063) ΔΣΜ2004 2008</t>
  </si>
  <si>
    <t>Αίθουσα Ιστορίας, Μεθοδολογίας και Φιλοσοφίας του Δικαίου</t>
  </si>
  <si>
    <t>Αθήνα : Καλειδοσκόπιο, 2008.</t>
  </si>
  <si>
    <t>Η τεχνολογία στην υπηρεσία της πολιτισμικής κληρονομιάς : διαχείριση, εκπαίδευση, επικοινωνία / επιστημονική επιμέλεια έκδοσης Αλεξάνδρα Μπούνια, Νίκη Νικονάνου, Μαρία Οικονόμου.</t>
  </si>
  <si>
    <t>Μπούνια, Αλεξάνδρα</t>
  </si>
  <si>
    <t>34(4-672EU) ΧρυΜ α 2018</t>
  </si>
  <si>
    <t>Η αρχή του κράτους δικαίου στην έννομη τάξη της Ευρωπαϊκής Ένωσης : μελέτες / επιμέλεια Μιχάλης Δ. Χρυσομάλλης ; συγγραφείς τόμου Π. Αργαλιάς ... [κ. ά.]</t>
  </si>
  <si>
    <t>347.734(495) ΚαλΓ δ 2019 1</t>
  </si>
  <si>
    <t>Αθήνα : Π. Ν. Σάκκουλας, 2019.</t>
  </si>
  <si>
    <t>Δίκαιο τραπεζικών συναλλαγών / Γ. Δ. Καλλιμόπουλος, Κ. Γ. Καραγιάννης, Ζ. Ν. Τσολακίδης.</t>
  </si>
  <si>
    <t>Καλλιμόπουλος, Γεώργιος-Σπυρίδων Δ., 1932-</t>
  </si>
  <si>
    <t>347.1 ΓεωΑ γ 2019</t>
  </si>
  <si>
    <t>Γενικές αρχές αστικού δικαίου / Απόστολος Σ. Γεωργιάδης.</t>
  </si>
  <si>
    <t>Γεωργιάδης, Απόστολος Σ.</t>
  </si>
  <si>
    <t>343.301 ΣυκΑ p 2018</t>
  </si>
  <si>
    <t>[Paris] : IRJS ed., 2018.</t>
  </si>
  <si>
    <t>La politique criminelle sur le fil / Athanassia P. Sykiotou ; préface de Mireille Delmas-Marty.</t>
  </si>
  <si>
    <t>Συκιώτου, Αθανασία Π.</t>
  </si>
  <si>
    <t>341.24 DesE r [1914] 1</t>
  </si>
  <si>
    <t>Αίθουσα σπάνιου υλικού</t>
  </si>
  <si>
    <t>Paris : Arthur Rousseau, [1914]-</t>
  </si>
  <si>
    <t>Recueil international des traités du XIXe siècle : contenant l'ensemble du droit conventionnel entre les états et les sentences arbitrales / publié par le baron Descamps et Louis Renault avec le concours deJules Basdevant</t>
  </si>
  <si>
    <t>Descamps, Edouard Eugène François, baron, 1847-1933, επιμελητής</t>
  </si>
  <si>
    <t>27-29 HamA n 1957</t>
  </si>
  <si>
    <t>Paris : Éditions de Paris, imp. 1957.</t>
  </si>
  <si>
    <t>Naissance des lettres chrétiennes : odes de Salomon, Lettre de Barnabé, Symbole des Apôtres, Didaché, Pasteur d'Hermas/ textes établis et présentés Aldalbert Hamman ; documentation et recherches assurées par François Garnier.</t>
  </si>
  <si>
    <t>272-74 FriB f 1963</t>
  </si>
  <si>
    <t>München : Max Hueber, 1963.</t>
  </si>
  <si>
    <t>Forum in der rechtssprache / von Bruno Fries.</t>
  </si>
  <si>
    <t>Fries, Bruno.</t>
  </si>
  <si>
    <t>34(37)(094) MeyE r 1959</t>
  </si>
  <si>
    <t>Aarau : Sauerländer, 1959.</t>
  </si>
  <si>
    <t>Die Rechtsquellen des Kantons Graubünden : lex Romana Curiensis / bearbeitet u. heraugegeben von Elisabeth Meyer-Marthaler.</t>
  </si>
  <si>
    <t>341.231.14 ErdU a/a 2006</t>
  </si>
  <si>
    <t>Genève: OMCT, 2006.</t>
  </si>
  <si>
    <t>Article 3 de la Convention européenne des Droits de l'homme: guide pratique juridique / Uğur Erdal &amp; Hasan Bakirci ; préface par Nigel Rodley ; traduit par Christina Karakosta &amp; Panagyotis Voyatzis.</t>
  </si>
  <si>
    <t>Erdal, Uğur.</t>
  </si>
  <si>
    <t>La Coruña : La Voz de Galicia, 1975.</t>
  </si>
  <si>
    <t>Derecho práctico y estilos de la Real Audiencia de Galicia : ilustrado con las citas de los autores más clásicos que lo comprueban / por Bernardo Herbella de Puga.</t>
  </si>
  <si>
    <t>Herbella de Puga, Bernardo.</t>
  </si>
  <si>
    <t>321.01 ΧρυΚ π 2016</t>
  </si>
  <si>
    <t>Αθήνα ; Θεσσαλονίκη : Εκδόσεις Σάκκουλα, 2016.</t>
  </si>
  <si>
    <t>Πολιτειολογία : το κράτος ως μορφή οργάνωσης των ανθρώπινων κοινωνιών / Κώστας Χ. Χρυσόγονος.</t>
  </si>
  <si>
    <t>Χρυσόγονος, Κώστας X.</t>
  </si>
  <si>
    <t>736.3*(39) ΛασΜ s 1931</t>
  </si>
  <si>
    <t>Praha : Lʹetat a Praha, 1931.</t>
  </si>
  <si>
    <t>Sceau de Radomir Aaron / Michel Lascaris.</t>
  </si>
  <si>
    <t>Λάσκαρις, Μιχαήλ Θ., 1903-1965.</t>
  </si>
  <si>
    <t>347.235 ΕγγΓ π 1905</t>
  </si>
  <si>
    <t>Αίθουσα Σπάνιου Υλικού</t>
  </si>
  <si>
    <t>Εν Κωνσταντινουπολει : Τύποις Κ. Ζιβίδου και Ν. Δεοδάτη, 1905.</t>
  </si>
  <si>
    <t>Πρόχειρον νομικόν εγχερίδιον περί της εν Τουρκία περί ακινήτων θεσμοθεσίας / υπό Γρηγορίου Κ. Εγγονόπουλου.</t>
  </si>
  <si>
    <t>Εγγονόπουλος, Γρηγόριος Κ.</t>
  </si>
  <si>
    <t>340.115 RieK e 2010</t>
  </si>
  <si>
    <t>2., neu bearb. u. stark erw. Aufl.</t>
  </si>
  <si>
    <t>Berlin : De Gruyter, c2010.</t>
  </si>
  <si>
    <t>Europäische Methodenlehre : Handbuch für Ausbildung und Praxis / hrsg. von Karl Riesenhuber.</t>
  </si>
  <si>
    <t>347.785 KreR r 2008</t>
  </si>
  <si>
    <t>2., neu bearb. Aufl.</t>
  </si>
  <si>
    <t>Berlin : Walter de Gruyter, 2008.</t>
  </si>
  <si>
    <t>Recht und Praxis der GEMA : Handbuch und Kommentar / Herausgegeben von Reinhold Kreile, Jürgen Becker, Karl Riesenhuber.</t>
  </si>
  <si>
    <t>331.08:331.108.2 ΚΕΣ 2019</t>
  </si>
  <si>
    <t>Αίθουσα Ποινικού και Εργατικού Δικαίου</t>
  </si>
  <si>
    <t>Ειδική έκδ.</t>
  </si>
  <si>
    <t>Αθήνα : Οικονομική και Κοινωνική Επιτροπή της Ελλάδος, 2019.</t>
  </si>
  <si>
    <t>Ο κόσμος της εργασίας σήμερα : παγκόσμιες προκλήσεις και προοπτικές / επιμέλεια έκδοσης Μάρθα Θεοδώρου, Αφροδίτη Μακρυγιάννη.</t>
  </si>
  <si>
    <t>329.14(495)(092) ΠετΠ π 2009</t>
  </si>
  <si>
    <t>Αγία Ευφημία : Δήμος Πυλαρέων, 2009.</t>
  </si>
  <si>
    <t>Η πορεία και η δράση του καλόγερου Χρύσανθου Καγκελάρη και του διάκου Ιωάννη Κονιδάρη, συνεργατών και οπαδών του Μ. Αντύπα: / Πέτρος Πετράτος.</t>
  </si>
  <si>
    <t>Πετράτος, Πέτρος.</t>
  </si>
  <si>
    <t>347.97/.99(460.11)17" HerPB d 1975</t>
  </si>
  <si>
    <t xml:space="preserve">Persson, Karl Gunnar </t>
  </si>
  <si>
    <t xml:space="preserve"> Johnston David (ed.)</t>
  </si>
  <si>
    <t>The Cambridge companion to Roman law</t>
  </si>
  <si>
    <t xml:space="preserve"> New York, NY : Cambridge University Press, 2015.</t>
  </si>
  <si>
    <t>34(37) JonD c 2015</t>
  </si>
  <si>
    <t>Biener, Friedrich August, 1787-1861.</t>
  </si>
  <si>
    <t>Φιλολογικόν σχεδιασμα περι των κανονων της ανατολοικής εκκλησια :  / του Φριδερίκου Αυγούστου Βέινερ   μεταφρασθέν εκ του λατινικού υπό Παύλου Καλλιγα.</t>
  </si>
  <si>
    <t>Εν Αθήναις : Εκ της τυπογραφίας Ανδρέου Κορομηλά, 1840.</t>
  </si>
  <si>
    <t>271-74 BieF c/φ 1840</t>
  </si>
  <si>
    <t>Bigot Jean …[et al.]</t>
  </si>
  <si>
    <t>Le contrat d'assurance</t>
  </si>
  <si>
    <t>2e éd.</t>
  </si>
  <si>
    <t>Paris : LGDJ/Lextenso, 2014</t>
  </si>
  <si>
    <t>347.764(44) BigJ c 2014</t>
  </si>
  <si>
    <t>Bon-Garcin, Isabelle</t>
  </si>
  <si>
    <t>Droit des transports / Isabelle Bon-Garcin, Maurice Bernadet, Yves Reinhard.</t>
  </si>
  <si>
    <t>Paris : Dalloz, 2018</t>
  </si>
  <si>
    <t>347.763(44) BonI d 2018</t>
  </si>
  <si>
    <t>Buchanan, Scott.</t>
  </si>
  <si>
    <t>The corporation and the republic / Scott Buchanan.</t>
  </si>
  <si>
    <t>Santa Barbara :  The Fund for the Republic,  1958.</t>
  </si>
  <si>
    <t>329.29 BucS c 1958</t>
  </si>
  <si>
    <t>Bureau, Dominique.</t>
  </si>
  <si>
    <t>Droit international privé /  Dominique Bureau, Horatia Muir Watt. Dominique Bureau, Horatia Muir Watt.</t>
  </si>
  <si>
    <t>4e éd. mise a jour</t>
  </si>
  <si>
    <t>Paris : Presses universitaires de France, 2017.</t>
  </si>
  <si>
    <t>341.9(44) BurD d 2017 1</t>
  </si>
  <si>
    <t>Cuniberti, Gilles</t>
  </si>
  <si>
    <t>Droit européen de l'insolvabilité: règlement (UE) 2015/848 du 20 mai 2015 relatif aux procédures d'insolvabilité / Gilles Cuniberti, Paola Nabet, Michael Raimon.</t>
  </si>
  <si>
    <t>Issy-les-Moulineaux : LGDJ, 2017.</t>
  </si>
  <si>
    <t>341.96:347.736(4-672EU) CunJ d 2017</t>
  </si>
  <si>
    <t>Dammann, Reinhard, 1959-</t>
  </si>
  <si>
    <t>Le droit de l'insolvabilité internationale / Reinhard Dammann, Marc Sénéchal   préface de Jean-Luc Vallens.</t>
  </si>
  <si>
    <t>Issy-les-Moulineaux : Joly, 2018.</t>
  </si>
  <si>
    <t>341.96:347.736(4-672EU) DamR d 2018</t>
  </si>
  <si>
    <t>Ehrlich, Ernst Ludwig.</t>
  </si>
  <si>
    <t>Der antike jüdische Staat / Ernst Ludwig Ehrlich.</t>
  </si>
  <si>
    <t>[Hannover] : Niedersächsische Landeszentrale für Politische Bildung, 1964.</t>
  </si>
  <si>
    <t>94(33) EhrE a 1964</t>
  </si>
  <si>
    <t>Eisentraut, Engelhard.</t>
  </si>
  <si>
    <t>Die Feier der Sonn- und Festtage seit dem letzten Jahrhundert des Mittelalters / von Engelhard Eisentraut.</t>
  </si>
  <si>
    <t>Amorbach : G. Volkhardt'sche Druckerei, 1914.</t>
  </si>
  <si>
    <t>2-565 15  EisE f 1914</t>
  </si>
  <si>
    <t>Germain, Michel</t>
  </si>
  <si>
    <t>Les sociétés commerciales / Michel Germain et Véronique Magnier.</t>
  </si>
  <si>
    <t>22e éd.</t>
  </si>
  <si>
    <t>Paris : LGDJ/Lextenso, 2017</t>
  </si>
  <si>
    <t>347.72(44) GerM s 2017</t>
  </si>
  <si>
    <t>Greek law in the twenty-first century (Conference) (2011 : University of Texas at Austin)</t>
  </si>
  <si>
    <t>Ancient Greek law in the twenty-first century / edited by Paula Perlman.</t>
  </si>
  <si>
    <t>Austin : University of Texas Press, 2018.</t>
  </si>
  <si>
    <t>34(38) GLTF2011 a 2018</t>
  </si>
  <si>
    <t>Hofmann H. Herwig, Micheau Claire (ed.)</t>
  </si>
  <si>
    <t xml:space="preserve">State aid law of the European Union / edited by </t>
  </si>
  <si>
    <t>New York, NY : Oxford University Press, 2016.</t>
  </si>
  <si>
    <t>346.54(4-672EU) HofH s 2016</t>
  </si>
  <si>
    <t>International Congress of Byzantine Studies (17th : 1986: Washington, D.C.)</t>
  </si>
  <si>
    <t>The 17th International Byzantine Congress : abstracts of short papers: Washington, D.C., August 3-8.</t>
  </si>
  <si>
    <t>Washington : Dumbarton Oaks : Georgetown University, 1986.</t>
  </si>
  <si>
    <t>94*(39)(063) ICBS1986 a 1986</t>
  </si>
  <si>
    <t>Jessen H., Werner M. J. (ed.)</t>
  </si>
  <si>
    <t>EU maritime transport law</t>
  </si>
  <si>
    <t>München: C.H. Beck, 2016.</t>
  </si>
  <si>
    <t>347.795(4-672EU) JesH e 2016</t>
  </si>
  <si>
    <t>Nagel, Thomas, 1937-</t>
  </si>
  <si>
    <t>Θεμελιώδη φιλοσοφικά προβλήματα : σύντομη εισαγωγή στη φιλοσοφία / Thomas Nagel ; πρόλογος μετάφραση Χριστίνα Μιχαλοπούλου-Βεϊκου.</t>
  </si>
  <si>
    <t>Αθήνα : Σμίλη, 1989.</t>
  </si>
  <si>
    <t>1 NagT w/θ 1989</t>
  </si>
  <si>
    <t>Onasch, Konrad.</t>
  </si>
  <si>
    <t>Einführung in die Konfessionskunde der Orthodoxen Kirchen / von Konrad Onasch.</t>
  </si>
  <si>
    <t>Berlin : Walter de Gruyter, 1962.</t>
  </si>
  <si>
    <t>271.2-9 OnaK e 1962</t>
  </si>
  <si>
    <t>Ors, Alvaro d'</t>
  </si>
  <si>
    <t>Estudios visigóticos / por Alvaro d'Ors, José Orlandis</t>
  </si>
  <si>
    <t>Roma [etc.] : CSIC, -1960.</t>
  </si>
  <si>
    <t>34(363.62) OrsA e 1960</t>
  </si>
  <si>
    <t>Özdel, Melis</t>
  </si>
  <si>
    <t>Bills of lading incorporating charterparties /  Melis Özdel</t>
  </si>
  <si>
    <t>Oxford  Portland:  Hart,  2015.</t>
  </si>
  <si>
    <t>347.794 OzdM b 2015</t>
  </si>
  <si>
    <t>Scheurl, Adolf, Freiherr von, 1811-1893.</t>
  </si>
  <si>
    <t>Anleitung zum Studium des römischen Civilprozesses. Ιταλικά.;"Guida allo studio del processo civile romano / del dr. C. G. Adolfo Di Scheurl."</t>
  </si>
  <si>
    <t>Napoli : N. Jovene, 1872.</t>
  </si>
  <si>
    <t>347.9(37) SchA a/g 1872</t>
  </si>
  <si>
    <t>Swiatkowski, Andrzej Marian.</t>
  </si>
  <si>
    <t>Charter of social rights of the Council of Europe / Andrzej Marian Swiatkowski.</t>
  </si>
  <si>
    <t>Netherlands : Kluwer, 2007.</t>
  </si>
  <si>
    <t>342.7(4-672EU) SwiA c 2007</t>
  </si>
  <si>
    <t>Thüsing, Gregor.</t>
  </si>
  <si>
    <t>Europäisches Arbeitsrecht / Gregor Thüsing unter Mitarbeit von Tom Stiebert.</t>
  </si>
  <si>
    <t>3., voll. neu bearb. Aufl.</t>
  </si>
  <si>
    <t>München : Beck, 2017.</t>
  </si>
  <si>
    <t>349.2(4-672EU) ThuG e 2017</t>
  </si>
  <si>
    <t>Ασλανίδη, Μαρία Ι.</t>
  </si>
  <si>
    <t>Περιγραφικά δεδομένα στον 21ο αιώνα / Μαρία Ασλανίδη.</t>
  </si>
  <si>
    <t>Αθήνα : Κλειδάριθμος, 2017.</t>
  </si>
  <si>
    <t>025.32 ΑσλΜ π 2010</t>
  </si>
  <si>
    <t>Βενιζέλος, Ευάγγελος Β., 1957-</t>
  </si>
  <si>
    <t>Μαθήματα συνταγματικού δικαίου / Ευάγγελος Β. Βενιζέλος.</t>
  </si>
  <si>
    <t>Αναθ. έκδ.</t>
  </si>
  <si>
    <t>Αθήνα : Εκδόσεις Αντ. Ν. Σάκκουλα, 2015.</t>
  </si>
  <si>
    <t>342 ΒενΕ μ 2015</t>
  </si>
  <si>
    <t>Γέροντας, Απόστολος Χ.</t>
  </si>
  <si>
    <t>4η έκδ.</t>
  </si>
  <si>
    <t>Επιτομή διοικητικού δικονομικού δικαίου / Απόστολος Γέροντας.</t>
  </si>
  <si>
    <t>Αθήνα : Εκδόσεις Σάκκουλα, 2014.</t>
  </si>
  <si>
    <t>351.95 ΓερΑ ε 2014</t>
  </si>
  <si>
    <t>Γέσιου-Φαλτσή, Πελαγία.</t>
  </si>
  <si>
    <t>Εγχειρίδιο Αναγκαστικής Εκτελέσεως : γενικό και ειδικό μέρος / Πελαγία Γέσιου-Φαλτσή.</t>
  </si>
  <si>
    <t>Αθήνα Θεσσαλονίκη : Εκδόσεις Σάκκουλα, 2011.</t>
  </si>
  <si>
    <t>347.952(495) ΓεσΠ ε 2011</t>
  </si>
  <si>
    <t>Δελλής, Γεώργιος Ι.</t>
  </si>
  <si>
    <t>Δήμος και αγορά : το δημόσιο δίκαιο  αλλιώς , με το βλέμμα της οικονομικής ανάλυσης / Γιώργος Δελλής.</t>
  </si>
  <si>
    <t>Αθήνα : Ευρασία, 2018.</t>
  </si>
  <si>
    <t>342 ΔελΓ δ 2018</t>
  </si>
  <si>
    <t>Δρούλια Έλλη … [και ά.] (επιμ.)</t>
  </si>
  <si>
    <t>Φάκελος Κύπρου</t>
  </si>
  <si>
    <t>Αθήνα : Βουλή των Ελλήνων   Λευκωσία : Βουλή των Αντιπροσώπων, 2018.</t>
  </si>
  <si>
    <t>94(564.3) 19  ΕΒ φ 2018 1</t>
  </si>
  <si>
    <t>Ελευθεριάδης, Ν. Π.</t>
  </si>
  <si>
    <t>Μελέται μουσουλμανικού δικαίου οθωμανικής νομοθεσίας και δικαίων των εν Τουρκία χριστιανών / Ν. Π. Ελευθεριάδου.</t>
  </si>
  <si>
    <t>Εν Μυτιλήνη : Τύποις  Σάλπιγγος , 1912.</t>
  </si>
  <si>
    <t>34(560) ΕλεΝ μ 1912</t>
  </si>
  <si>
    <t>Αθήνα   Θεσσαλονίκη : Εκδόσεις Σάκκουλα, 2018.</t>
  </si>
  <si>
    <t>Ιγγλεζάκης, Ιωάννης Δ.</t>
  </si>
  <si>
    <t>Δίκαιο πληροφορικής / Ιωάννης Δ. Ιγγλεζάκης.</t>
  </si>
  <si>
    <t>Αθήνα ; Θεσσαλονίκη : Σάκκουλας, 2018.</t>
  </si>
  <si>
    <t>34:004 ΙγγΙ δ 2018</t>
  </si>
  <si>
    <t>Καβουσανός Εμμανουήλ Γ. … [και ά.] (επιμ.)</t>
  </si>
  <si>
    <t>Το διεθνές εγχειρίδιο ναυτιλιακής χρηματοοικονομικής: θεωρία και εφαρμογές</t>
  </si>
  <si>
    <t>Nicosia, Cyprus : Broken Hill Publishers, 2018.</t>
  </si>
  <si>
    <t>347.79 ΚαβΕ i/δ 2018</t>
  </si>
  <si>
    <t>Κοτσίρης, Λάμπρος Ε., 1934-</t>
  </si>
  <si>
    <t>Ευρωπαϊκό εμπορικό δίκαιο : εισαγωγή στο δίκαιο της Ευρωπαϊκής Ένωσης - δίκαιο ανταγωνισμού-δίκαιο βιομηχανικής και πνευματικής ιδιοκτησίας - εισαγωγή στο δίκαιο εταιριών και στο δίκαιο αφερεγγυότητας / Λάμπρου Ε. Κοτσίρη.</t>
  </si>
  <si>
    <t>3η εκδ.</t>
  </si>
  <si>
    <t>Αθήνα ; Θεσσαλονίκη : Σάκκουλας 2018</t>
  </si>
  <si>
    <t>347.7(4-672EU) ΚοτΛ ε 2018</t>
  </si>
  <si>
    <t>Κουκιάδης, Ιωάννης Δ., 1940-</t>
  </si>
  <si>
    <t>Εργατικό δίκαιο : συλλογικές εργασιακές σχέσεις / Ιωάννης Δ. Κουκιάδης.</t>
  </si>
  <si>
    <t>Θεσσαλονίκη : Εκδόσεις Σάκκουλα, 2017.</t>
  </si>
  <si>
    <t>349.2(495) ΚουΙ ε 2017</t>
  </si>
  <si>
    <t>Κουνουγέρη-Μανωλεδάκη, Έφη.</t>
  </si>
  <si>
    <t>Οικογενειακό δίκαιο : επιτομή / Εφη Κουνουγέρη-Μανωλεδάκη.</t>
  </si>
  <si>
    <t>Αθήνα : Σάκκουλας, 2018.</t>
  </si>
  <si>
    <t>347.6 ΚουΕ ο 2018</t>
  </si>
  <si>
    <t>Μινώτος, Σπύρος.</t>
  </si>
  <si>
    <t>La cession de Parga : les péripéties dʹun ouvrage dʹUgo Foscolo / Sp. D. Minotto.</t>
  </si>
  <si>
    <t>Athènes : [n.n.], 1934.</t>
  </si>
  <si>
    <t>94(495.53) ΜινΣ c 1934</t>
  </si>
  <si>
    <t>Μπουρδάρα, Καλλιόπη Αλκ., 1948-</t>
  </si>
  <si>
    <t>Επιλογή μελετών ιστορίας δικαίου : (ρωμαϊκό - βυζαντινό - μεταβυζαντινό δίκαιο και θεσμοί) / Καλλιόπη (Κέλλυ) Α. Μπουρδάρα.</t>
  </si>
  <si>
    <t>Αθήνα : Αντ. Ν. Σάκκουλας, 2017.</t>
  </si>
  <si>
    <t>34(091) ΜποΚ ε 2017</t>
  </si>
  <si>
    <t>Μπώκος, Γιώργος Δ., 1949-</t>
  </si>
  <si>
    <t>Εισαγωγή στην επιστήμη της πληροφόρησης / Γ. Δ. Μπώκος.</t>
  </si>
  <si>
    <t>Αθήνα : Παπασωτηρίου, 2001</t>
  </si>
  <si>
    <t>02 ΜπωΓ ε 2001</t>
  </si>
  <si>
    <t>Γραφείο Προσωπικού</t>
  </si>
  <si>
    <t>Νίκας, Νικόλαος Θ.</t>
  </si>
  <si>
    <t>Εγχειρίδιο δικαίου αναγκαστικής εκτελέσεως / Νικόλαος Θ. Νίκας.</t>
  </si>
  <si>
    <t>Νικολόπουλος, Ηλίας</t>
  </si>
  <si>
    <t>Ο θεσμός της λαϊκής νομοθετικής και συνταγματικής πρωτοβουλίας : συμβολή στο συγκριτικό συνταγματικό δίκαιο / Ηλίας Γ. Νικολόπουλος.</t>
  </si>
  <si>
    <t>Αθήνα : Αντ. Ν. Σάκκουλας, 1997.</t>
  </si>
  <si>
    <t>342.571 ΝικΗ θ 1997</t>
  </si>
  <si>
    <t>Ορφανίδη, Λάϊα.</t>
  </si>
  <si>
    <t>Εισαγωγή στη μουσειολογία και στην προληπτική συντήρηση = Introduction to museology and preventive conservation / Λάϊα Ορφανίδη, Ιωάννης Λυριτζής.</t>
  </si>
  <si>
    <t>Αθήνα : Ινστιτούτο του Βιβλίου-Ασημίνα Καρδαμίτσα, 2013.</t>
  </si>
  <si>
    <t>069.01 ΟρφΛ ε 2013</t>
  </si>
  <si>
    <t>Αίθουσα Προσωπικού</t>
  </si>
  <si>
    <t>Παναγοπούλου, Μαρία-Ελένη Θ.</t>
  </si>
  <si>
    <t>Η αίτηση αναιρέσεως ενώπιον του Συμβουλίου της Επικρατείας / Μαρία-Ελένη Θ. Παναγοπούλου.</t>
  </si>
  <si>
    <t>2η έκδ. αναθεωρ. και συμπλ.</t>
  </si>
  <si>
    <t>Αθήνα : Σάκκουλας, 2015.</t>
  </si>
  <si>
    <t>351.95 ΠανΜ α 2015</t>
  </si>
  <si>
    <t>Παπαδαμάκης, Αδάμ Χ.</t>
  </si>
  <si>
    <t>Ποινική δικονομία : η δομή της ποινικής δίκης / Αδάμ Χ. Παπαδαμάκης.</t>
  </si>
  <si>
    <t>8η έκδ. αναθ. και επαυξ.</t>
  </si>
  <si>
    <t>Αθήνα ; Θεσσαλονίκη : Εκδόσεις Σάκκουλα, 2018.</t>
  </si>
  <si>
    <t>343.1(495) ΠαπΑ π 2018</t>
  </si>
  <si>
    <t>Παύλου Στέφανος, Μπέκας Γιάννης</t>
  </si>
  <si>
    <t>Ειδικοί ποινικοί νόμοι: ναρκωτικά &amp; όπλα, πυρομαχικά, εκρηκτικά</t>
  </si>
  <si>
    <t>Αθήνα : Π.Ν. Σάκκουλας, 2014.</t>
  </si>
  <si>
    <t>343.539(495) ΠαυΣ ε 2014</t>
  </si>
  <si>
    <t>Ράικος, Δημήτριος Γ.</t>
  </si>
  <si>
    <t>Ροδολάκης, Γεώργιος Ε.</t>
  </si>
  <si>
    <t>Η ναυτική νομοθεσία της Ύδρας (1803-1818) : τα  θεσπίσματα , οι  πολιτικοί και θαλασσοεμπορικοί νόμοι , οι  θαλασσοεμπορικοί νόμοι / Γιώργος Ε. Ροδολάκης.</t>
  </si>
  <si>
    <t>Αθήνα : Ακαδημία, 2004</t>
  </si>
  <si>
    <t>347.79(495.11) ΡοδΓ ν 2004</t>
  </si>
  <si>
    <t>Ρόκας, Ιωάννης Κ.</t>
  </si>
  <si>
    <t>Ασφαλιστικό δίκαιο : εισηγήσεις = Insurance law / Ιωάννης Κ. Ρόκας.</t>
  </si>
  <si>
    <t>Αθήνα: Νομική Βιβλιοθήκη, 2019.</t>
  </si>
  <si>
    <t>347.764(495) ΡοκΙ α 2019</t>
  </si>
  <si>
    <t>Ρόκας, Νικόλαος Κ.</t>
  </si>
  <si>
    <t>Εμπορικές εταιρίες / Νικόλαος Κ. Ρόκας.</t>
  </si>
  <si>
    <t>8η έκδ.</t>
  </si>
  <si>
    <t>347.72(495) ΡοκΝ ε 2018</t>
  </si>
  <si>
    <t>Σκαλτσάς, Κωνσταντίνος Ι.</t>
  </si>
  <si>
    <t>The 2nd half of the fifth book of Aristotle's politics / by Constantine J. Skaltsas.</t>
  </si>
  <si>
    <t>Athens : [χ.ό.], 1969.</t>
  </si>
  <si>
    <t>17.023.1 ΣκαΚ s 1969</t>
  </si>
  <si>
    <t>Σπυριδάκης, Ιωάννης Σ.</t>
  </si>
  <si>
    <t>Ενοχικό δίκαιο : γενικό μέρος / Ι .Σ. Σπυριδάκης   συνεργασία-επιμέλεια Μ. Ι. Σπυριδάκης.</t>
  </si>
  <si>
    <t>347.4 ΣπυΙ ε 2018</t>
  </si>
  <si>
    <t>Κληρονομικό δίκαιο / Σπυριδάκης Ι. Σ.   συνργασία/επιμέλεια: Μ. Ι. Σπυριδάκης.</t>
  </si>
  <si>
    <t>347.65 ΣπυΙ κ 2018</t>
  </si>
  <si>
    <t>Τενεκίδης, Γιώργος Κ., 1910-1990.</t>
  </si>
  <si>
    <t>Occupatio bellica : κατάληψις εχθρικού εδάφους αιτία πολέμου : Αι κρατούσαι αρχαί εν τη επιστήμη και τη Νομολογία / Κ. Τενεκίδου και Γ. Τενεκίδου.</t>
  </si>
  <si>
    <t>Αθήναι :  Αργύρης Παπαζήσης, 1945.</t>
  </si>
  <si>
    <t>341.3 ΤενΚ o 1945</t>
  </si>
  <si>
    <t>The Annan plan for Cyprus: a citizen's guide</t>
  </si>
  <si>
    <t>Oslo: International Peace Research Institute, 2003.</t>
  </si>
  <si>
    <t>341.218(564.3) APC 2003</t>
  </si>
  <si>
    <t>Code des transports 2017</t>
  </si>
  <si>
    <t>4e éd. /  réalisée par Christophe Paulin.</t>
  </si>
  <si>
    <t>Paris : LexisNexis, 2016.</t>
  </si>
  <si>
    <t>347.763(44) ΚΩΔ CT 2016</t>
  </si>
  <si>
    <t>Διάφορα ελληνικά  γράμματα εκ του εν Πετρουπόλει Μουσείου της Α. Ε. του κυρίου Nikolas Likhatcheff  / εκδιδόμενα μετά παραρτήματος και προλόγου υπό Α. Παπαδοπούλου-Κεραμέως</t>
  </si>
  <si>
    <t>Εν Πετρουπόλει : Εκ του Τυπογραφείου Β. Κιρσβάουμ, 1907.</t>
  </si>
  <si>
    <t>27-9 1500/1800  ΠαπΑ δ 1907</t>
  </si>
  <si>
    <t>Casebook europäisches arbeitsrecht / Monika Schlachter (hrsg).</t>
  </si>
  <si>
    <t>Baden-Baden : Nomos, 2005.</t>
  </si>
  <si>
    <t>349.2(4-672EU) SchM c 2005</t>
  </si>
  <si>
    <t>The Draft UNCITRAL digest and beyond  : cases, analysis and unresolved issues in the U.N. sales convention : papers of the Pittsburgh Conference organized by the Center for International Legal Education (CILE) / edited by Franco Ferrari, Harry Flechtner, Ronald A. Brand.</t>
  </si>
  <si>
    <t>München : Sellier European Law Publishers ; London : Thomson/Sweet &amp; Maxwell, 2004.</t>
  </si>
  <si>
    <t>341.63:347.7(063) DUD2003  2004</t>
  </si>
  <si>
    <t>Economic sanctions under international law : unilateralism, multilateralism, legitimacy, and consequences / Ali Z. Marossi, Marisa R. Bassett, editors.</t>
  </si>
  <si>
    <t>Hague : Asser press ; Berlin : Springer, c2015.</t>
  </si>
  <si>
    <t>341.65 MarA e 2015</t>
  </si>
  <si>
    <t>SE-Kommentar : SE-VO, SEAG, SEBG, Steuerrecht / herausgegeben von Marcus Lutter und Peter Hommelhoff.</t>
  </si>
  <si>
    <t>Köln : O. Schmidt, 2008.</t>
  </si>
  <si>
    <t>347.72(4-672EU) LutM s 2008</t>
  </si>
  <si>
    <t>Αίθουσα Δημοσίου Διεθνούς Δικαίου και Εμπορικού Δικαίου</t>
  </si>
  <si>
    <t>International economic law : contemporary issues / editors Giovanna Adinolfi ... [et.al.]</t>
  </si>
  <si>
    <t>Cham, Switzerland : Springer Nature, 2017.</t>
  </si>
  <si>
    <t>346 AdiG i 2017</t>
  </si>
  <si>
    <t>Judging the state in international trade and investment law : sovereignty modern, the law and the economics / editor Leila Choukroune.</t>
  </si>
  <si>
    <t>New York, NY : Springer Berlin Heidelberg, 2016.</t>
  </si>
  <si>
    <t>346 ChoL j 2016</t>
  </si>
  <si>
    <t>Mega-Regional Trade Agreements / edited by Thilo Rensmann.</t>
  </si>
  <si>
    <t>Cham, Switzerland : Springer International Publishing,  2017.</t>
  </si>
  <si>
    <t>346 RosT m 2017</t>
  </si>
  <si>
    <t>European Yearbook of International Economic Law 2015 / editors Christoph Herrmann, Markus Krajewski, Jörg Philipp Terhechte.</t>
  </si>
  <si>
    <t>Heidelberg : Springer, 2015.</t>
  </si>
  <si>
    <t>346 HerC e 2015</t>
  </si>
  <si>
    <t>Le transsexualisme en Europe / Commission internationale de l'état civil (CIEC).</t>
  </si>
  <si>
    <t>Strasbourg : Editions du Conseil de l'Europe, [2000]</t>
  </si>
  <si>
    <t>347.156(4) ΣΕ.CIEC t 2000</t>
  </si>
  <si>
    <t>Nouveau Code de Procédure Civile Roumain = Noul Cod de procedură civilă / traduction commentée par Daniela Borcan et Manuela Ciuruc; commenté par Flavius Antoniu Baias ... [et al.]</t>
  </si>
  <si>
    <t>Chasseneuil Cedex : Juriscope,  2018.</t>
  </si>
  <si>
    <t>347.9(498) BaiF n 2018</t>
  </si>
  <si>
    <t>Blanke, Thomas, 1944-</t>
  </si>
  <si>
    <t>Europäisches Betriebsräte-Gesetz : EBRG-Kommentar / Thomas Blanke.</t>
  </si>
  <si>
    <t>Baden-Baden : Nomos Verl., 1999.</t>
  </si>
  <si>
    <t>349.2(4-672EU) BlaT e 1999</t>
  </si>
  <si>
    <t>Deutscher Juristentag (69th : 2012 : München, Germany)</t>
  </si>
  <si>
    <t>Neue Formen der Bürgerbeteiligung? : Plannung und Zulassungvon Projekten in der parlamentarischen Demokratie / Gutachten D erstattet vonJan Ziekow.</t>
  </si>
  <si>
    <t>München : C. H. Beck, 2012.</t>
  </si>
  <si>
    <t>342.57(430)(063) DJ2012 n 2012</t>
  </si>
  <si>
    <t>Deutscher Juristentag (72nd : 2018 : Leipzig, Germany)</t>
  </si>
  <si>
    <t>Migration und ihre Folgen : wie kann das Recht Zuwanderung und Integration in Gesellschaft, Arbeitsmarkt und Sozialordnung steuern? / Gutachten D erstattet von Winfried Kluth, Gutachten E erstattet von Richard Giesen.</t>
  </si>
  <si>
    <t>München : C. H. Beck, 2018.</t>
  </si>
  <si>
    <t>341.215.4-054.72(430)(063) DJ2018 m 2018</t>
  </si>
  <si>
    <t>Αϊθουσα Διεθνούς Δικαίου και Εμπορικού Δικαίου</t>
  </si>
  <si>
    <t>Dütz, Wilhelm.</t>
  </si>
  <si>
    <t>Arbeitsrecht : [mit Fällen und Aufbauschemata] / Wilhelm Dütz; Gregor Thüsing; unter mitarbeit von Heike Jung.</t>
  </si>
  <si>
    <t>18., neu bearb. Aufl.</t>
  </si>
  <si>
    <t>München : Beck, 2013.</t>
  </si>
  <si>
    <t>349.2(430) DutW a 2013</t>
  </si>
  <si>
    <t>Eichenhofer, Eberhard.</t>
  </si>
  <si>
    <t>Sozialrecht der Europäischen Union / von Eberhard Eichenhofer.</t>
  </si>
  <si>
    <t>Berlin : Erich Schmidt, c2001.</t>
  </si>
  <si>
    <t>349.3(4-672EU) EicE s 2001</t>
  </si>
  <si>
    <t>Frakes, Robert M.</t>
  </si>
  <si>
    <t>Compiling the Collatio legum Mosaicarum et Romanarum in late antiquity / Robert M. Frakes.</t>
  </si>
  <si>
    <t>Oxford ; New York : Oxford University Press, 2011.</t>
  </si>
  <si>
    <t>34(37)(33) FraR c 2011</t>
  </si>
  <si>
    <t>Fuchs, Maximilian.</t>
  </si>
  <si>
    <t>Europaïsches Arbeitsrecht / Maximilian Fuchs, Franz Marhold, Michael Friedrich.</t>
  </si>
  <si>
    <t>Wien : Springer, 2001.</t>
  </si>
  <si>
    <t>349.2(4-672EU) FucM e 2001</t>
  </si>
  <si>
    <t>Europaïsches Arbeitsrecht / Maximilian Fuchs, Franz Marhold.</t>
  </si>
  <si>
    <t>2., vollständig überarb. u. erw. Aufl.</t>
  </si>
  <si>
    <t>Wien : Springer, c2006.</t>
  </si>
  <si>
    <t>349.2(4-672EU) FucM e 2006</t>
  </si>
  <si>
    <t>Haeckel, Ernst, 1834-1919.</t>
  </si>
  <si>
    <t>Origine de l'homme / Ernest Haeckel.</t>
  </si>
  <si>
    <t>Paris : Schleicher Frères, [1899?]</t>
  </si>
  <si>
    <t>572.1/.4 HaeE o</t>
  </si>
  <si>
    <t>Αίθουσα Ιστορίας, Θεωρία και Φιλοσοφίας του Δικαίου</t>
  </si>
  <si>
    <t>International Union of Marine Insurance</t>
  </si>
  <si>
    <t>The essential role of marine cargo insurance in foreign trade / by the Carriers' Liability Committee.International Union of Marine Insurance.</t>
  </si>
  <si>
    <t>[sl. : s.n.], 1975.</t>
  </si>
  <si>
    <t>368.23 CLC e 1975</t>
  </si>
  <si>
    <t>Law and Economics Conference (5th : 2016 : Lucerne, Switzerland)</t>
  </si>
  <si>
    <t>Environmental Law and Economics / edited by Klaus Mathis, Bruce R. Huber.</t>
  </si>
  <si>
    <t>Cham, Switzerland : Springer , 2017.</t>
  </si>
  <si>
    <t>349.6(063) LEC2016 e 2017</t>
  </si>
  <si>
    <t>Löwisch, Manfred, 1937-</t>
  </si>
  <si>
    <t>Arbeitsrecht : ein Studienbuch / von Manfred Löwisch; Georg Caspers; Steffen Klumpp.</t>
  </si>
  <si>
    <t>9., neubearb. Aufl.</t>
  </si>
  <si>
    <t>München : Vahlen, 2012.</t>
  </si>
  <si>
    <t>349.2(430) LowM a 2012</t>
  </si>
  <si>
    <t>Robinson, Eric W.</t>
  </si>
  <si>
    <t>Democracy beyond Athens : popular government in Greek classical age / Eric W. Robinson.</t>
  </si>
  <si>
    <t>Cambridge, UK ;  New York : Cambridge University Press, 2011</t>
  </si>
  <si>
    <t>321.7(38)(091) RobE d 2011</t>
  </si>
  <si>
    <t>Rüdiger Veil</t>
  </si>
  <si>
    <t>Mitbestimmungsgesetz;"Mitbestimmungsgesetz und Drittelbeteiligungsgesetz : Kommentar / von Thomas Raiser</t>
  </si>
  <si>
    <t>5., neu bearb. Aufl.</t>
  </si>
  <si>
    <t>Berlin : De Gruyter, c2009.</t>
  </si>
  <si>
    <t>349.212 RaiT m 2009</t>
  </si>
  <si>
    <t>Schminck, Andreas.</t>
  </si>
  <si>
    <t>Ausgewählte Schriften zur byzantinischen Rechtsgeschichte und Kulturgeschichte / Andreas Schminck.</t>
  </si>
  <si>
    <t>Frankfurt am Main : Löwenklau-Gesellschaft, 2018.</t>
  </si>
  <si>
    <t>34*(39)(091)SchA a 2018 1+2</t>
  </si>
  <si>
    <t>Steinau-Steinrück, Robert von.</t>
  </si>
  <si>
    <t>Arbeitsvertragsgestaltung : mit Klauselbeispielen für die Praxis / von Robert Steinau-Steinrück und Cord Vernunft.</t>
  </si>
  <si>
    <t>2., aktualisierte und erw. Aufl.</t>
  </si>
  <si>
    <t>Frankfurt am Main : Recht und Wirtschaft, 2014.</t>
  </si>
  <si>
    <t>349.22 SteR a 2014</t>
  </si>
  <si>
    <t>Thüsing, Gregor, 1971-</t>
  </si>
  <si>
    <t>Europäisches Arbeitsrecht / Gregor Thüsing.</t>
  </si>
  <si>
    <t>München : Beck, 2008.</t>
  </si>
  <si>
    <t>349.2(4-672EU) ThuG e 2008</t>
  </si>
  <si>
    <t>Arbeitnehmerdatenschutz und Compliance : effektive Compliance im Spannungsfeld von reformiertem BDSG, Persönlichkeitsschutz und betrieblicher Mitbestimmung / von Gregor Thüsing ; unter Mitarb. von Gerrit Forst, Thomas Granetzny und Wolfgang Schorn.</t>
  </si>
  <si>
    <t>München :  Beck,  2010.</t>
  </si>
  <si>
    <t>349.233 ThuG a 2010</t>
  </si>
  <si>
    <t>Zöllner, Wolfgang, 1928-</t>
  </si>
  <si>
    <t>Arbeitsrecht : ein Studienbuch / Wolfgang Zöllner, Karl-Georg Loritz, Wolfgang Hergenröder.</t>
  </si>
  <si>
    <t>6. Aufl.</t>
  </si>
  <si>
    <t>München : Beck, 2008.</t>
  </si>
  <si>
    <t>349.2(430) ZölW a 2008</t>
  </si>
  <si>
    <t>Αθανασάκη, Βασιλική Οδ.</t>
  </si>
  <si>
    <t>Οι γενικές ρήτρες κατά της φοροαποφυγής στο διεθνές και ευρωπαϊκό φορολογικό δίκαιο / Βασιλική Οδ. Αθανασάκη.</t>
  </si>
  <si>
    <t>Αθήνα : Νομική Βιβλιοθήκη, 2019.</t>
  </si>
  <si>
    <t>351.71(4-672EU) ΑθαΒ γ 2019</t>
  </si>
  <si>
    <t>Καλαβρός, Αλέξανδρος Γ. Ε.</t>
  </si>
  <si>
    <t>Η έλλειψη πληρεξουσιότητας κατά την κατάρτιση σύμβασης : Έννομες συνέπειες-Μία σύζευξη του αστικού δικαίου με το αστικό δικονομικό δίκαιο στην περίπτωση της δικαστικής πληρεξουσιότητας / Αλέξανδρος Γ.-Ε. Καλαβρός.</t>
  </si>
  <si>
    <t>347.133.4 ΚαλΑ ε 2018</t>
  </si>
  <si>
    <t>Λιβιεράτος, Ευάγγελος.</t>
  </si>
  <si>
    <t>Η χάρτα του Ρήγα τα δύο συνπρόσωπα : μία άλλη ανάγνωση του χάρτη / Ευάγγελος Λιβιεράτος.</t>
  </si>
  <si>
    <t>Θεσσαλονίκη :  Βιβλιοθήκη &amp; Κέντρο Πληροφόρησης ΑΠΘ, Τρικόγλειος Βιβλιοθήκη, c2017.</t>
  </si>
  <si>
    <t>912.43(495)17""</t>
  </si>
  <si>
    <t>Παλιούρα, Ελένη Μ.</t>
  </si>
  <si>
    <t>Το νομικό καθεστώς των θρησκευτικών κοινοτήτων στην Ελλάδα / Ελένη Μ. Παλιούρα.</t>
  </si>
  <si>
    <t>Αθήνα : Εκδόσεις Γρηγόρη, 2019.</t>
  </si>
  <si>
    <t>348(495) ΠαλΕ ν 2019</t>
  </si>
  <si>
    <t>Παπαδοπούλου, Ελένη Ν.</t>
  </si>
  <si>
    <t>Über die dogmatische Grundlage des Verbots der reformatio in peius im Zivilprozess / Eleni Papadopoulou.</t>
  </si>
  <si>
    <t>[Hamburg] : Diplomatica Verlag GmbH, 2018.</t>
  </si>
  <si>
    <t>347.9(430) ΠαπΕ u 2018</t>
  </si>
  <si>
    <t>Σταθόπουλος, Μιχαήλ Π.</t>
  </si>
  <si>
    <t>Γενικό ενοχικό δίκαιο / Μιχ. Π. Σταθόπουλος.</t>
  </si>
  <si>
    <t>347.4 ΣταΜ ε 2018</t>
  </si>
  <si>
    <t>Χαρχαλάκη, Ιωάννα Ε.</t>
  </si>
  <si>
    <t>Οι πολιτειακές επιπτώσεις της οικονομικής κρίσης στην Ελλάδα : στη λειτουργία του πολιτεύματος και της δικαιοσύνης / Ιωάννα Ε. Χαρχαλάκη ; πρόλογος Γιάννης Ζ. Δρόσος.</t>
  </si>
  <si>
    <t>351.72 ΧαρΙ π 2019</t>
  </si>
  <si>
    <t>AIDEA (Association). Colloque (2nd : 1992 : Vogüé, France)</t>
  </si>
  <si>
    <t>Les problèmes institutionels de l'eau en Egypte ancienne et dans l'antiquité méditerranéenne / Colloque AIDEA Vogüé 1992 édité par Bernadette Menu.</t>
  </si>
  <si>
    <t>Le Caire : Institut français d'archéologie orientale, c1994.</t>
  </si>
  <si>
    <t>351.778.3(32)(063) AIDEA1992 p 1993</t>
  </si>
  <si>
    <t>Blet, Raymond.</t>
  </si>
  <si>
    <t>La justice en Chine : des cent fleurs aux cent codes / Raymond Blet ... [et al]</t>
  </si>
  <si>
    <t>Paris : ,Francois Maspero, 1979.</t>
  </si>
  <si>
    <t>351.87(510) BleR j 1979</t>
  </si>
  <si>
    <t>Bloch, Marc Leopold Benjamin, 1886-1944.</t>
  </si>
  <si>
    <t>Απολογία για την ιστορία : το επάγγελμα του ιστορικού / Marc Bloch ; μετάφραση Κώστας Γαγανάκης.</t>
  </si>
  <si>
    <t>Αθήνα : Εναλλακτικές Εκδόσεις, 1994.</t>
  </si>
  <si>
    <t>930 BloM a 1994</t>
  </si>
  <si>
    <t>Bouineau, Jacques.</t>
  </si>
  <si>
    <t>Histoire des institutions : Ier-XVe siècle / Jacques Bouineau.</t>
  </si>
  <si>
    <t>Paris : Litec, c1994.</t>
  </si>
  <si>
    <t>34(44)(091) BouJ h 1994</t>
  </si>
  <si>
    <t>Brague, Rémi, 1947-</t>
  </si>
  <si>
    <t>La loi de dieu : Histoire philosophique d'une alliance / Rémi Brague.</t>
  </si>
  <si>
    <t>Paris : Gallimard, 2005.</t>
  </si>
  <si>
    <t>2:34 BraR i 2005</t>
  </si>
  <si>
    <t>Cabanes, Pierre, 1930-</t>
  </si>
  <si>
    <t>L'Epire, de la mort de Pyrrhos a la conquete romaine, 272-167 av. J.C. / par Pierre Cabanes.</t>
  </si>
  <si>
    <t>Paris : Les Belles lettres, 1976.</t>
  </si>
  <si>
    <t>938(38) CabP e 1976</t>
  </si>
  <si>
    <t>Cantarella, Eva.</t>
  </si>
  <si>
    <t>Selon la nature, l'usage et la loi : la bisexualite dans le monde antique / Eva Cantarella traduit de l'italien par Marie-Domitille Porcheron.</t>
  </si>
  <si>
    <t>Paris : Ed. la Decouverte, 1991.</t>
  </si>
  <si>
    <t>304(37)(38) CanE s 1991</t>
  </si>
  <si>
    <t>Aίθουσα Ιστορίας, Θεωρίας και Φιλοσοφίας του Δικαίου</t>
  </si>
  <si>
    <t>Carbone, Sergio M.</t>
  </si>
  <si>
    <t>Conflits de lois en droit maritime / Sergio M. Carbone.</t>
  </si>
  <si>
    <t>Leiden Boston : Nijhoff, 2010</t>
  </si>
  <si>
    <t>341.96:347.79 CarS c 2010</t>
  </si>
  <si>
    <t>Cohen-Tanugi, Laurent, 1957-</t>
  </si>
  <si>
    <t>Le droit sans l'etat : sur la démocratie en France et en Amérique / Laurent Cohen-Tanugi préface de Stanley Hoffmann.</t>
  </si>
  <si>
    <t>Paris : PUF, 1985.</t>
  </si>
  <si>
    <t>321(73) CohL d 1985</t>
  </si>
  <si>
    <t>Colloque de Strasbourg ( Mai 1980)</t>
  </si>
  <si>
    <t>La Femme dans les societes antiques : actes des colloques de Strasbourg (mai 1980 et mars 1981) / edites par Edmond Levy.</t>
  </si>
  <si>
    <t>Strasbourg : AECR, 1983</t>
  </si>
  <si>
    <t>305-055.2(063) FDS1980 1983</t>
  </si>
  <si>
    <t>Colloque du Girea (20th : 1993 : Besancon, France)</t>
  </si>
  <si>
    <t>Religion et anthropologie de l'esclavage et des formes de dependance : actes de XXème colloque du GIREA-Besancon, 4-6 novembre 1993 / édités par Jacques Annequin et Marguerite Garrido-Hory.</t>
  </si>
  <si>
    <t>Paris : Belles Lettres, 1994.</t>
  </si>
  <si>
    <t>326(3)(063)</t>
  </si>
  <si>
    <t>Colombet, Claude.</t>
  </si>
  <si>
    <t>La famille / Claude Colombet.</t>
  </si>
  <si>
    <t>3e ed.</t>
  </si>
  <si>
    <t>Paris : Presses Universitaires de France (PUF), 1994.</t>
  </si>
  <si>
    <t>347.6(44) ColC f 1994</t>
  </si>
  <si>
    <t>Connelly, Joan Breton, 1954-</t>
  </si>
  <si>
    <t>Portrait of a priestess : women and ritual in ancient Greece / Joan Breton Connelly.</t>
  </si>
  <si>
    <t>Princeton : Princeton University Press, c2007</t>
  </si>
  <si>
    <t>2-725-055.2(38) ConJ p 2007</t>
  </si>
  <si>
    <t>Convegno internazionale di studi (2004 : Florence, Italy)</t>
  </si>
  <si>
    <t>Euripide e i papiri : atti del Convegno internazionale di studi, Firenze, 10-11 giugno 2004 / a cura di Guido Bastianini e Angelo Casanova.</t>
  </si>
  <si>
    <t>Firenze : Istituto papirologico G. Vitelli, 2005.</t>
  </si>
  <si>
    <t>091.2(063) CIS2004 e 2005</t>
  </si>
  <si>
    <t>Cornil, Georges, 1863-</t>
  </si>
  <si>
    <t>Δοκίμιον νομικής κοινωνιολογίας / Georges Cornil ; μετάφρασις εκ της γαλλικής υπό Π. Ι. Φικιώρη.</t>
  </si>
  <si>
    <t>Εν Αθήναις : Π. Δημητράκου, 1926.</t>
  </si>
  <si>
    <t>340.12 CorG δ 1926</t>
  </si>
  <si>
    <t>Dörner, Heinrich.</t>
  </si>
  <si>
    <t>Industrialisierung und Familienrecht : die Auswirkungen des sozialen Wandels dargestellt an den Familienmodellen des ALR, BGB und des französischen code civil / von Heinrich Dörner mit einem Vorwort von Andreas Heldrich.</t>
  </si>
  <si>
    <t>Berlin : Duncker &amp; Humblot, 1974.</t>
  </si>
  <si>
    <t>347.6(430)(44) DorH i 1974</t>
  </si>
  <si>
    <t>Duncan-Jones, Richard.</t>
  </si>
  <si>
    <t>Money and government in the Roman empire / Richard Duncan-Jones.</t>
  </si>
  <si>
    <t>Cambridge [England] New York, NY, USA : Cambridge University Press, 1994.</t>
  </si>
  <si>
    <t>336.7(37) DunR m 1994</t>
  </si>
  <si>
    <t>Durkheim, Emile, 1858-1917.</t>
  </si>
  <si>
    <t>De la division du travail social / Emile Durkheim.</t>
  </si>
  <si>
    <t>8ème ed.</t>
  </si>
  <si>
    <t>Paris : Presses universitaires de France, 1967.</t>
  </si>
  <si>
    <t>331.101.23 DurE d 1967</t>
  </si>
  <si>
    <t>Αίθουσα Ιστορίας, Θωρίας και Φιλοσοφίας του Δικαίου</t>
  </si>
  <si>
    <t>Ebel, Charles</t>
  </si>
  <si>
    <t>Transalpine Gaul : the emergence of a Roman province / by Charles Ebel.</t>
  </si>
  <si>
    <t>Leiden : E. J. Brill, 1976</t>
  </si>
  <si>
    <t>94(37) EbeC t 1976</t>
  </si>
  <si>
    <t>Robert Nozick ; traduction de l'anglais par évelyne D'Auzac de Lamartine ; rèvisèe par Pierre-Emmanuel Dauzat.</t>
  </si>
  <si>
    <t>Anarchy, State and Utopia</t>
  </si>
  <si>
    <t>Paris : Presses Universitaires de France, 1988.</t>
  </si>
  <si>
    <t>321.01 NozR a/a 1988</t>
  </si>
  <si>
    <t>Ferrier, Marie-Claire.</t>
  </si>
  <si>
    <t>Enfants de justice / Marie-Claire Ferrier ; avec la collaboration du Syndicat de la magistrature.</t>
  </si>
  <si>
    <t>Paris : F. Maspero, 1981.</t>
  </si>
  <si>
    <t>347.63 FerM e 1981</t>
  </si>
  <si>
    <t>Gabba, Emilio.</t>
  </si>
  <si>
    <t>Sociedad y política en la Roma republicana (siglos III-I a.C.) / Emilio Gabba, Umberto Laffi.</t>
  </si>
  <si>
    <t>Ospedaletto (Pisa) : Pacini, c2000.</t>
  </si>
  <si>
    <t>32(37)ʺ-0265/-0030ʺ GabE s 2000</t>
  </si>
  <si>
    <t>Garbarino, Giovanna</t>
  </si>
  <si>
    <t>Roma e la filosofia greca dalle origini alla fine del il secolo a.c.: raccolta di testi con introduzione e commento</t>
  </si>
  <si>
    <t>Torino: G. B. Paravia, 1973.</t>
  </si>
  <si>
    <t>1(37)(091) GarG r 1973 2</t>
  </si>
  <si>
    <t>Garnsey, Peter.</t>
  </si>
  <si>
    <t>The Roman Empire : economy, society, and culture / Peter Garnsey &amp; Richard Saller.</t>
  </si>
  <si>
    <t>Berkeley Los Angeles : University of California Press, 1987.</t>
  </si>
  <si>
    <t>39(37) GarP r 1987</t>
  </si>
  <si>
    <t>[London] : Duckworth, 1987.</t>
  </si>
  <si>
    <t>Garrido-Hory, M.</t>
  </si>
  <si>
    <t>Martial et lʹ esclavage / M. Garrido-Hory.</t>
  </si>
  <si>
    <t>Paris : Belles Lettres, 1981</t>
  </si>
  <si>
    <t>821.124-1 GarM m 1981</t>
  </si>
  <si>
    <t>Geschichte des hellenismus. Ελληνικά;"Ιστορία του ελληνιστικού κόσμου</t>
  </si>
  <si>
    <t>Αθήνα : Μορφωτικό Ιδρυμα Εθνικής Τραπέζης, 2007.</t>
  </si>
  <si>
    <t>94(38) .../-0146 GehH g/ι 2017</t>
  </si>
  <si>
    <t>Glotz, Gustave, 1862-1935.</t>
  </si>
  <si>
    <t>Histoire grecque / Gustave Glotz/ avec la collaboration de Robert Cohen</t>
  </si>
  <si>
    <t>5e ed.</t>
  </si>
  <si>
    <t>Paris : Presses Universitaires de France, 1986</t>
  </si>
  <si>
    <t>94(38) GloG h 1986 1-4</t>
  </si>
  <si>
    <t>Haberle, Peter</t>
  </si>
  <si>
    <t>Η θεωρία των βαθμίδων εξέλιξης των κειμένων / Peter Haberle ; εισαγωγή Δ.Θ. Τσάτσου, Γ. Παπαδημητρίου.</t>
  </si>
  <si>
    <t>Αθήνα ; Κομοτηνή : Αντ. Ν. Σάκκουλα, 1992.</t>
  </si>
  <si>
    <t>342 HabP θ 1992</t>
  </si>
  <si>
    <t>Hammond, N. G. L. (Nicholas Geoffrey Lemprière), 1907-2001.</t>
  </si>
  <si>
    <t>Sources for Alexander the Great : an analysis of.. / N.G.L. Hammond, C.B.E., D.S.O., F.B.A.</t>
  </si>
  <si>
    <t>Cambridge : Cambridge University Press, 1993.</t>
  </si>
  <si>
    <t>9-05 HamN s 1993</t>
  </si>
  <si>
    <t>Hansen, Mogens Herman, 1940-</t>
  </si>
  <si>
    <t>Eisangelia : the sovereignty of the people's court in Athens in the fourth century B.C. and the impeachment of generals and politicians / by Mogens Herman Hansen.</t>
  </si>
  <si>
    <t>Odense : Odense Universitetsforlag, 1975</t>
  </si>
  <si>
    <t>347.9(38) HanM e 1975</t>
  </si>
  <si>
    <t>Heisserer, A. J</t>
  </si>
  <si>
    <t>Alexander the Great and the Greeks : the epigraphic evidence / by A. J. Heisserer.</t>
  </si>
  <si>
    <t>1st ed</t>
  </si>
  <si>
    <t>Norman : University of Oklahoma Press, c1980.</t>
  </si>
  <si>
    <t>Höltmann, Michael.</t>
  </si>
  <si>
    <t>Schiffssicherheit und Meeresumweltschutz in der EU nach Erika und Prestige : die Vereinbarkeit der legislativen Maßnahmen der EU mit dem internationalen Seerecht / Michael Höltmann.</t>
  </si>
  <si>
    <t>Baden-Baden : Nomos, 2012.</t>
  </si>
  <si>
    <t>341:502.51(26) HolM s 2012</t>
  </si>
  <si>
    <t>Internationales Symposion Das Romisch-Byzantinische Agypten . Forschungszentrum Griechisch-Romisches Agypten (1978 Sept. 26-30: Trier, Germany)</t>
  </si>
  <si>
    <t>Das Römisch-Byzantinische Ägypten : Akten des internationalen Symposions 26-30 Sept. 1978 in Trier.</t>
  </si>
  <si>
    <t>Mainz am Rhein : Philipp von Zabern, c1983.</t>
  </si>
  <si>
    <t>94(32) -0332/+0640 (063) RBA 1983</t>
  </si>
  <si>
    <t>Lanfranchi, Thibaud, 1981-</t>
  </si>
  <si>
    <t>Les tribuns de la plèbe et la formation de la République romaine: 494-287 avant J.-C. / par Thibaud Lanfranchi.</t>
  </si>
  <si>
    <t>[Rome ] : École française de Rome, 2015.</t>
  </si>
  <si>
    <t>94(37)«-0510/-0030» LanT t 2015</t>
  </si>
  <si>
    <t>Legras, Bernard, 1956-</t>
  </si>
  <si>
    <t>Lʹégypte grecque et romaine / Bernard Legras.</t>
  </si>
  <si>
    <t>[Paris] : Colin, c2004.</t>
  </si>
  <si>
    <t>94(32) -0332/+0640 LegB e 2004</t>
  </si>
  <si>
    <t>Αίθουσα ιστορίας, Θεωρίας και Φιλοσοφίας του Δικαίου</t>
  </si>
  <si>
    <t>Lezine-Βελισσαροπούλου, Βερονίκη</t>
  </si>
  <si>
    <t>Αρχιτεκτονική και πολιτική στην Αρχαία Ελλάδα : η εμπειρία της αρχαϊκής τυραννίδας / Βερονίκη Lazine-Βελισσαροπούλου.</t>
  </si>
  <si>
    <t>Αθήνα : Ινστιτούτο του Βιβλίου - Α. Καρδαμίτσα, 2002</t>
  </si>
  <si>
    <t>72(38) LezΒ α 2002</t>
  </si>
  <si>
    <t>MacCoull, Leslie S. B.</t>
  </si>
  <si>
    <t>Dioscorus of Aphrodito : his work and his world / Leslie S. B. MacCoull.</t>
  </si>
  <si>
    <t>Berkeley : University of California Press, c1988</t>
  </si>
  <si>
    <t>091.2(32) MacCL d 1988</t>
  </si>
  <si>
    <t>Marcuse, Herbert, 1898-1979.</t>
  </si>
  <si>
    <t>Five lectures : psychoanalysis, politics, and utopia / Herbert Marcuse traslations by Jeremy J. Shapiro and Shierry M. Weber.</t>
  </si>
  <si>
    <t>Boston : Bacon Press Canada : Saunders of Toronto, 1970.</t>
  </si>
  <si>
    <t>316.6 MarH f 1970</t>
  </si>
  <si>
    <t>Meillassoux, Claude</t>
  </si>
  <si>
    <t>Anthropologie de l'esclavage : le ventre de fer et d'argent / Claude Meillassoux.</t>
  </si>
  <si>
    <t>Paris : Presses Universitaires de France, c1986.</t>
  </si>
  <si>
    <t>326(6) MeiC a 1986</t>
  </si>
  <si>
    <t>Meyer, Philippe, 1947-</t>
  </si>
  <si>
    <t>L'enfant et la raison d'etat / Philippe Meyer.</t>
  </si>
  <si>
    <t>Paris : Seuil, c1977.</t>
  </si>
  <si>
    <t>316.36 MeyP e 1977</t>
  </si>
  <si>
    <t>Michaut, Françoise.</t>
  </si>
  <si>
    <t>La recherche d'un nouveau paradigme de la décision judiciaire à travers un siècle de doctrine américaine / Françoise Michaut.</t>
  </si>
  <si>
    <t>Paris : L'Harmattan, 2000.</t>
  </si>
  <si>
    <t>340.12 MicF r 2000</t>
  </si>
  <si>
    <t>Paul, André.</t>
  </si>
  <si>
    <t>La Bible et l'occident: de la bibliothéque d'Alexandrie à la culture européenne / André Paul.</t>
  </si>
  <si>
    <t>Paris: Bayard, 2007</t>
  </si>
  <si>
    <t>27-235 PauA b 2007</t>
  </si>
  <si>
    <t>Perrin, Jean-Francois.</t>
  </si>
  <si>
    <t>Pour une theorie de la connaissance juridique / Jean-Francois Perrin ; avec la collaboration de Dominique Manaϊ, Robert Roth, Pierre Guibentif,.</t>
  </si>
  <si>
    <t>Geneve : Droz, 1979.</t>
  </si>
  <si>
    <t>340.12 PerJ p 1979</t>
  </si>
  <si>
    <t>Αίθουσα Ιστορίας, Θεωρίας και ΦΙλοσοφίας του Δικαίου</t>
  </si>
  <si>
    <t>Powell, Barry B.</t>
  </si>
  <si>
    <t>Homer and the origin of the Greek alphabet / Barry B. Powell.</t>
  </si>
  <si>
    <t>Cambridge : Cambridge University Press, 1991.</t>
  </si>
  <si>
    <t>736.2(38) Ομηρ h PowB 1994</t>
  </si>
  <si>
    <t>Revel, Jean-François.</t>
  </si>
  <si>
    <t>Histoire de la philosophie occidentale / Jean-François Revel.</t>
  </si>
  <si>
    <t>[Paris] : Stock, 1970.</t>
  </si>
  <si>
    <t>1(091) RevJ h 1968 1</t>
  </si>
  <si>
    <t>Rivière, Yann.</t>
  </si>
  <si>
    <t>Les délateurs sous l'empire romain / par Yann Rivière.</t>
  </si>
  <si>
    <t>Rome : Ecole française de Rome, 2002.</t>
  </si>
  <si>
    <t>94(37) RivY d 2002</t>
  </si>
  <si>
    <t>Rosanvallon, Pierre, 1948-</t>
  </si>
  <si>
    <t>La crise de l'etat-providence / Pierre Rosanvallon.</t>
  </si>
  <si>
    <t>Paris : Seuil, c1981.</t>
  </si>
  <si>
    <t>342.72/.73 RosP c 1981</t>
  </si>
  <si>
    <t>Rouland, Norbert.</t>
  </si>
  <si>
    <t>Rome, democratie impossible? : Les acteurs du pouvoir dans la cite romaine / par Norbert Rouland.</t>
  </si>
  <si>
    <t>[Paris] : Actes Sud, 1981.</t>
  </si>
  <si>
    <t>94(37) RouN r 1981</t>
  </si>
  <si>
    <t>Rudhardt, Jean.</t>
  </si>
  <si>
    <t>Themis et les Horai : recherches sur les divinités grecques de la justise et de la paix / Jean Rudhardt.</t>
  </si>
  <si>
    <t>Geneve : Droz, 1999.</t>
  </si>
  <si>
    <t>Αίθουσα Ιστορίας, Θεωρίας και Φιλοσοφίας του Δικαίου.</t>
  </si>
  <si>
    <t>Ruzé, Françoise.</t>
  </si>
  <si>
    <t>Eunomia : à la recherche de l'équité / Francoise Ruzé ; édité par Daphné Gondicas.</t>
  </si>
  <si>
    <t>Paris : Diffusion de Boccard, 2003.</t>
  </si>
  <si>
    <t>Sánchez de la Torre, Ángel.</t>
  </si>
  <si>
    <t>La tyrannie dans la Grèce antique / Angel Sánchez de la Torre traduit de l'espagnol par Delphine Pasquet.</t>
  </si>
  <si>
    <t>Bordeaux : Bière, 1999.</t>
  </si>
  <si>
    <t>32(38) SanA t 1999</t>
  </si>
  <si>
    <t>Sineux, Pierre;"Universite de Caen Basse-Normandie. Centre de Recherche d/Histoire Quantitative"</t>
  </si>
  <si>
    <t>Le legislateur et la loi dans l/Antiquite : Hommage a Francoise Ruze : Actes du Colloque de Caen, 15-17 mai 2003 / edites par Pirre Sineux.</t>
  </si>
  <si>
    <t>Caen : Presses Universitaires de Caen, 2005</t>
  </si>
  <si>
    <t>34(082.2) RuzF l 2005</t>
  </si>
  <si>
    <t>Αίθουσα Ιστορίας, Θεωρίας και Φιλοσοφίας του Δικαίθου</t>
  </si>
  <si>
    <t>Stahr, Fritz.</t>
  </si>
  <si>
    <t>ABC der Vertrags- und Testamentsmuster : RatschlaÌĝe zur Gestaltung von VertraÌĝen und Testamenten : 120 Vorlagen : neue Richtlinien fuÌ̂r die VergebuÌĥrung, Erbschaft- und Schenkungsteuer / von Fritz Stahr, Karl-Heinz Marent.</t>
  </si>
  <si>
    <t>5., erw. Aufl.</t>
  </si>
  <si>
    <t>Wien : P. Linde, 1986.</t>
  </si>
  <si>
    <t>347.67(436) StaF a 1986</t>
  </si>
  <si>
    <t>Szramkiewicz, Romuald.</t>
  </si>
  <si>
    <t>Histoire des institutions, 1750-1914 : droit et société en France de la fin de l'Ancien Régime à la Première Guerre mondiale / Romuald Szramkiewicz, Jacques Bouineau.</t>
  </si>
  <si>
    <t>3ème éd.</t>
  </si>
  <si>
    <t>Paris : Litec, c1996.</t>
  </si>
  <si>
    <t>32(44)(091) SzrR h 1996</t>
  </si>
  <si>
    <t>Wasowicz, Aleksandra</t>
  </si>
  <si>
    <t>Olbia pontique et son territoire : l'amenagement de l'espace / par Aleksandra Wasowicz.</t>
  </si>
  <si>
    <t>Paris : Les Belles-Lettres, 1975.</t>
  </si>
  <si>
    <t>94(367) WasA o 1975</t>
  </si>
  <si>
    <t>Weber, Max, 1864-1920.</t>
  </si>
  <si>
    <t>Rechtssoziologie / Max Weber aus dem Manuskript hrsg. und eingeleitet von Johannes Winckelmann.</t>
  </si>
  <si>
    <t>2. Aufl</t>
  </si>
  <si>
    <t>Neuwied : Luchterhand, 1967.</t>
  </si>
  <si>
    <t>340.11 WebM r 1960</t>
  </si>
  <si>
    <t>Wörrle, Johannes-Michael, 1939-</t>
  </si>
  <si>
    <t>Stadt und Fest im kaiserzeitlichen Kleinasien : Studien zu einer agonistischen Stiftung aus Oinoanda / Michael Wörrle.</t>
  </si>
  <si>
    <t>München : C.H. Beck, c1988.</t>
  </si>
  <si>
    <t>Ziegler, Jean, 1934-</t>
  </si>
  <si>
    <t>Vive le pouvoir! ou, les délices de la raison d'Etat / Jean Ziegler.</t>
  </si>
  <si>
    <t>Paris : Editions du Seuil, 1985.</t>
  </si>
  <si>
    <t>340.12 ZieJ v 1985</t>
  </si>
  <si>
    <t>Αλιβιζάτος, Νίκος.</t>
  </si>
  <si>
    <t>Ένα καινοτόμο σύνταγμα για την Ελλάδα / Νίκος Αλιβιζάτος, Παναγής Βουρλούμης, Γιώργος Γεραπετρίτης, Γιάννης Κτιστάκις, Στέφανος Μάνος, Φίλιππος Σπυρόπουλος.</t>
  </si>
  <si>
    <t>Νέο Φάληρο : Η Καθημερινή, 2016</t>
  </si>
  <si>
    <t>342.4 ΑλιΝ ε 2019</t>
  </si>
  <si>
    <t>Αλιγιζάκη, Ασπασία</t>
  </si>
  <si>
    <t>Ενεργειακή πολιτική και δίκαιο της ΕΕ : (ο αντίκτυπος στην ευρωπαϊκή ασφάλεια) / Ασπασία Αλιγιζάκη.</t>
  </si>
  <si>
    <t>Αθήνα : Εκδόσεις Σάκκουλα Α.Ε., 2018.</t>
  </si>
  <si>
    <t>351.824.11(4-672EU) ΑλιΑ ε 2018</t>
  </si>
  <si>
    <t>Αλιπράντης, Νικήτας Δ.</t>
  </si>
  <si>
    <t>Μελέτες για μια κριτική θεώρηση του δικαίου / Ν. Αλιπράντης ...[κ.ά] πρόλογος των Α. Μανιτάκη και Κ. Μ. Σταμάτη, επιμέλεια και μετάφραση του κειμένου του N. Reich του Κ. Μ. Σταμάτη.</t>
  </si>
  <si>
    <t>Θεσσαλονίκη : Εκδόσεις Σάκκουλα, 1985.</t>
  </si>
  <si>
    <t>340.11 ΑλιΝ μ 1985</t>
  </si>
  <si>
    <t>Αριστείδης, Αίλιος.</t>
  </si>
  <si>
    <t>Περί ρητορικής. Αρχαία και νέα ελληνικά.;"Προς Πλάτωνα υπέρ ρητορικής / Αίλιου Αριστείδη εισαγωγή-κείμενο-μετάφραση-ερμηνευτικό υπόμνημα Δημήτρης Καραδήμας."</t>
  </si>
  <si>
    <t>Αθήνα : Καρδαμίτσα, 2016.</t>
  </si>
  <si>
    <t>821.14'02-5 ΚαρΔ α 2016</t>
  </si>
  <si>
    <t>Δεκάζου-Στεφανοπούλου, Φωτεινή.</t>
  </si>
  <si>
    <t>Παυσανίου λατρευτικά : τα λατρευτικά επίθετα και οι θεσμικές τους αναφορές στην Περιήγηση του Παυσανία / Φωτεινή Δεκάζου-Στεφανοπούλου.</t>
  </si>
  <si>
    <t>Αθήνα : Ελληνικά Γράμματα, 2000.</t>
  </si>
  <si>
    <t>2-3 Παυσ ΔεκΦ 2000</t>
  </si>
  <si>
    <t>Δεληγιάννη-Δημητράκου, Χριστίνα.</t>
  </si>
  <si>
    <t>Approches philosophiques du droit comparé:/ Christina Delyianni-Dimitrakou.</t>
  </si>
  <si>
    <t>Thessalonique : [χ. ό.], 2004.</t>
  </si>
  <si>
    <t>340.5 ΔελΧ a 2004</t>
  </si>
  <si>
    <t>Ελλάδα. Βουλή.</t>
  </si>
  <si>
    <t>Κανονισμός της Βουλής των Ελλήνων &amp; Σύνταγμα της Ελλάδας / προεδρία Απόστολου Χρ. Κακλαμάνη.</t>
  </si>
  <si>
    <t>Αθήνα : Βουλή των Ελλήνων, 2002.</t>
  </si>
  <si>
    <t>342.536 ΚακΑ κ 2002</t>
  </si>
  <si>
    <t>Καλλιβρετάκης, Λεωνίδας.</t>
  </si>
  <si>
    <t>Μεσογείων 14-18 : η Υποδιεύθυνση Γενικής Ασφάλειας Αθηνών στα χρόνια της δικτατορίας (1971-1974) / Λεωνίδας Καλλιβρετάκης.</t>
  </si>
  <si>
    <t>Αθήνα : ΓενικήΓραμματεία Έρευνας και Τεχνολογίας Ινστιτούτο ιστορικών Ερευνών, 2018.</t>
  </si>
  <si>
    <t>94(495) 1967/1974 ΚαλΛ μ 2018</t>
  </si>
  <si>
    <t>Κορνηλάκης, Άγγελος.</t>
  </si>
  <si>
    <t>Wesen und Funktion der Verjährung im Rahmen des deutschen und englishen Schuldrechts : eine rechtsdogmatische und rechtsvergleichende Untersuchung zum deutschen und englischen Schuldrecht unter besonderer Berücksichtigung des Diskussionsentwurfs eines Schuldrechtsmodernisierungsgesetzes / von Angelos Kornilakis.</t>
  </si>
  <si>
    <t>Berlin : Duncker &amp; Humblot, 2002.</t>
  </si>
  <si>
    <t>34.04 ΚορΑ w 2002</t>
  </si>
  <si>
    <t>Μπουραζέρη, Κωνσταντίνα Α.</t>
  </si>
  <si>
    <t>Tarifautonomie und Wirtschaftskrise: Regulierung tarifvertraglicher Arbeitsbedingungen auf der Grundlage von Memoranda of Understanding nach europäischem, deutschem und griechischem Recht / Konstantina Bourazeri.</t>
  </si>
  <si>
    <t>Baden-Baden: Nomos, 2019.</t>
  </si>
  <si>
    <t>349.213 ΒουΚ t 2019</t>
  </si>
  <si>
    <t>Παναγιώτου, Παναγιώτης Κ.</t>
  </si>
  <si>
    <t>Εμπορικό δίκαιο = Business law / Παναγιώτης Κ. Παναγιώτου.</t>
  </si>
  <si>
    <t>347.7(495) ΠανΠ ε 2019</t>
  </si>
  <si>
    <t>Παπαδημητρίου, Γεώργιος Δ.</t>
  </si>
  <si>
    <t>Η αργόσυρτη πορεία προς την ευρωπαϊκή ομοσπονδίωση : επίκαιροι προβληματισμοί / Γιώργος Παπαδημητρίου.</t>
  </si>
  <si>
    <t>342(4-672EU) ΠαπΓ α 1997</t>
  </si>
  <si>
    <t>Παπαθωμάς, Αμφιλόχιος.</t>
  </si>
  <si>
    <t>Εισαγωγή στην παπυρολογία / Αμφιλόχιος Παπαθωμάς.</t>
  </si>
  <si>
    <t>2η εκδ. επαυξημένη</t>
  </si>
  <si>
    <t>Αθήνα : [χ.ο.], 2014.</t>
  </si>
  <si>
    <t>091(3) ΠαπΑ ε 2014</t>
  </si>
  <si>
    <t>Παπανικολαίδης, Δημήτριος Χ.</t>
  </si>
  <si>
    <t>Η κανονιστική αρμοδιότης του ανώτατου άρχοντος / Δημητρίου Χ. Παπανικολαΐδου.</t>
  </si>
  <si>
    <t>Αθήναι : [χ.ό.], 1954.</t>
  </si>
  <si>
    <t>342.924 ΠαπΔ κ 1954</t>
  </si>
  <si>
    <t>Τσάτσος, Δημήτρης Θ., 1933-2010.</t>
  </si>
  <si>
    <t>Επίμαχες έννοιες της ευρωπαϊκής ενωσιακής τάξης : Μεθοδολογική συμβολή στην ερμηνεία της Συνθήκης για την Ευρωπαϊκή Ένωση / Δημήτρης Θ. Τσάτσος.</t>
  </si>
  <si>
    <t>Αθήνα : Εκδόσεις Αντ. Ν. Σάκκουλα, 1997.</t>
  </si>
  <si>
    <t>Das Juristenbuch / Nikolaus Dimmel und Alfred-Johannes Noll (Herausgeber).</t>
  </si>
  <si>
    <t>Wien : Verlag der Österreichischen Staatsdruckerei, 1991.</t>
  </si>
  <si>
    <t>347.962 DimN j 1991</t>
  </si>
  <si>
    <t>Max Weber als Rechtssoziologe / herausgegeben von Manfred Rehbinder und Klaus-Peter Tieck.</t>
  </si>
  <si>
    <t>Berlin : Duncker &amp; Humblot, 1987.</t>
  </si>
  <si>
    <t>316.334.4 WebM m 1987</t>
  </si>
  <si>
    <t>Handbuch des Fachanwalts : Verwaltungsrecht / herausgegeben von Roland Fritz bearbeitet von Uwe Berlit ... [et al.].</t>
  </si>
  <si>
    <t>Neuwied : Luchterhand, 1988.</t>
  </si>
  <si>
    <t>342.9(430) FriR h 1998</t>
  </si>
  <si>
    <t>The National law library.</t>
  </si>
  <si>
    <t>New York : P. F. Collier &amp; Son Corporation, [c1939]</t>
  </si>
  <si>
    <t>37(73) NLL 1939 5-6</t>
  </si>
  <si>
    <t>Saeculum Augustum / herausgegeben von Gerhard Binder.</t>
  </si>
  <si>
    <t>Darmstadt : Wissenschaftliche Buchgesellschaft, 1987-1991</t>
  </si>
  <si>
    <t>94(37) BinG s 1987 1</t>
  </si>
  <si>
    <t>Demosthenes / herausgegeben von Ulrich Schindel.</t>
  </si>
  <si>
    <t>Darmstadt : Wissenschaftliche Buchgesellschaft, 1987</t>
  </si>
  <si>
    <t>82-5(38) Δημο d SchU 1987</t>
  </si>
  <si>
    <t>Perikles und seine Zeit / herausgegeben von Gerhard Wirth.</t>
  </si>
  <si>
    <t>Darmstadt : Wissenschaftliche Buchgesellschaft, 1979</t>
  </si>
  <si>
    <t>94(38) WirG p 1979</t>
  </si>
  <si>
    <t>Αίθουσα Ιστορίας, Θεωρίας και Φιλοσοφίας του δικαίου</t>
  </si>
  <si>
    <t>Η ιστορική πείρα της δικτατορίας του προλεταριάτου : ντοκουμέντα της Λαίκής Ημερησίας του Πεκίνου / μετάφραση από τα γαλλικά Μίνας Ζωγράφου.</t>
  </si>
  <si>
    <t>Αθήνα : Ιστορικές Εκδόσεις, 1963.</t>
  </si>
  <si>
    <t>321.74 ΙΠΔ 1963</t>
  </si>
  <si>
    <t>Melanges Pierre Leveque / edites par Marie-Madeleine Mactoux et Evelyne Geny.</t>
  </si>
  <si>
    <t>Paris : Les Belles Lettres, 1989-</t>
  </si>
  <si>
    <t>34(082.2) LecP m 1988 1</t>
  </si>
  <si>
    <t>Philosophie de la famille : communauté, normes et pouvoirs / textes réunis par Gabrielle Radica.</t>
  </si>
  <si>
    <t>Paris : J. Vrin, c2013.</t>
  </si>
  <si>
    <t>347.6 RadG p 2013</t>
  </si>
  <si>
    <t>34(082.2) LecP m 1989 2</t>
  </si>
  <si>
    <t>34(082.2) LecP m 1989 3</t>
  </si>
  <si>
    <t>34(082.2) LecP m 1990 4</t>
  </si>
  <si>
    <t>34(082.2) LecP m 1990 5</t>
  </si>
  <si>
    <t>34(082.2) LecP m 1992 7</t>
  </si>
  <si>
    <t>34(082.2) LecP m 1994 8</t>
  </si>
  <si>
    <t>Images and ideologies : self-definition in the Hellenistic world / Anthony Bulloch.. [et al.].</t>
  </si>
  <si>
    <t>Berkeley : University of California Press, c1993.</t>
  </si>
  <si>
    <t>930.85(38) BouA i 1993</t>
  </si>
  <si>
    <t>Alexander the Great : reality and myth / edited by Jesper Carlsen, Bodil Due, Otto Steen Due, Birte Poulsen.</t>
  </si>
  <si>
    <t>Rome : LʹErma di Bretschneider, 1993.</t>
  </si>
  <si>
    <t>94(038)(092)(063) AG1992 1993</t>
  </si>
  <si>
    <t>Le monde du roman grec : actes du colloque international tenu à lʹÉcole normale supérieure (Paris 17-19 décembre 1987) rassemblés par Marie-Françoise Baslez, Philippe Hoffmann et Monique Trédé.</t>
  </si>
  <si>
    <t>Paris : Presses de lʹÉcole Normale Supérieure, 1992.</t>
  </si>
  <si>
    <t>821.14'02(091)(063) MRG1987 1992</t>
  </si>
  <si>
    <t>Recherches sur les religions de lʹantiquité classique / par Raymond Bloch ... [et al.].</t>
  </si>
  <si>
    <t>Genève : Librairie Droz Paris : Champion, 1980.</t>
  </si>
  <si>
    <t>2(3) BloR r 1980</t>
  </si>
  <si>
    <t>La violence dans les mondes grec et romain : actes du colloque international, Paris, 2-4 mai 2002 / réunis par Jean-Marie Bertrand.</t>
  </si>
  <si>
    <t>Paris : Publications de la Sorbonne, 2005.</t>
  </si>
  <si>
    <t>364.63(3)(063)</t>
  </si>
  <si>
    <t>Afrique Romaine: Scripta varia I / Hans Georg Pflaum</t>
  </si>
  <si>
    <t>Pflaum,Hans Georg</t>
  </si>
  <si>
    <t>Paris: Librairie-Editions L'Harmatan, 1978</t>
  </si>
  <si>
    <t>003.344 PflH a 1978</t>
  </si>
  <si>
    <t>Alexandrian citizenship:/ Diana Delia</t>
  </si>
  <si>
    <t>Delia, Diana</t>
  </si>
  <si>
    <t>Atlanta : Scholars Press, 1991</t>
  </si>
  <si>
    <t>342.71(32) DelD a 1991</t>
  </si>
  <si>
    <t>Althistorische Studien : Hermann Bengtson zum 70. Geburtstag dargebracht von Kollegen und Schülern / herausgegeben von Heinz Heinen in Verbindung mit Karl Stroheker und Gerold Walser.</t>
  </si>
  <si>
    <t>Wiesbaden : F.Steiner, 1983.</t>
  </si>
  <si>
    <t>34(082.2) BenH a 1983</t>
  </si>
  <si>
    <t>Αίθουσα τιμητικών τόμων 1ος όροφος</t>
  </si>
  <si>
    <t>Ausgewählte Schriften / Max Kaser.</t>
  </si>
  <si>
    <t>Kaser, Max.</t>
  </si>
  <si>
    <t>Napoli : Jovene, 1976.</t>
  </si>
  <si>
    <t>34(37)(081.2) MaxK a 1976 1</t>
  </si>
  <si>
    <t>Aux origines du droit international humanitaire : la grèce ancienne / Emmanuelle Stavraki.</t>
  </si>
  <si>
    <t>Σταυράκης, Εμμανουήλ.</t>
  </si>
  <si>
    <t>Athènes : Ant. N. Sakkoylas, 2019.</t>
  </si>
  <si>
    <t>341.33(38) ΣταΕ a 2019</t>
  </si>
  <si>
    <t>Cadre juridique du tourisme en Grèce : droit public et privé du tourisme / Evanthia Kardoulia.</t>
  </si>
  <si>
    <t>Καρδούλια, Ευανθία.</t>
  </si>
  <si>
    <t>Mauritius : Éditions universitaires europeennes, 2017.</t>
  </si>
  <si>
    <t>34:338.48(495) ΚαρΕ c 2017</t>
  </si>
  <si>
    <t>Censeurs et publicains : economie et fiscalite dans la Rome antique / Claude Nicolet Textes rassembles avec la collaboration de Sabine Lefebvre.</t>
  </si>
  <si>
    <t>Nicolet, Claude, 1930-</t>
  </si>
  <si>
    <t>Paris : Fayard, 2000.</t>
  </si>
  <si>
    <t>336(37) NicC c 2000</t>
  </si>
  <si>
    <t>Ciceron i ego vremia. Ιταλικά;"Cicerone e il suo tempo / S. L. Utčenko a cura Mario Mazza prefazione di Filippo Càssola."</t>
  </si>
  <si>
    <t>Utchenko, S. L. (Sergeĭ Lʹvovich), 1908-1976.</t>
  </si>
  <si>
    <t>Roma : Editori Riuniti, 1975.</t>
  </si>
  <si>
    <t>32(37)(092) UtcS c 1975</t>
  </si>
  <si>
    <t>Comparative administrative law / edited by Susan Rose-Ackerman and Peter L. Lindseth.</t>
  </si>
  <si>
    <t>Cheltenham, UL: Edward Elgar, 2010.</t>
  </si>
  <si>
    <t>342.9 RosS c 2010</t>
  </si>
  <si>
    <t>Conduct: an intoduction to moral philosophy. Ελληνικά;"Εισαγωγή στην ηθική φιλοσοφία / R. F. Atkinson ; μετάφραση Ελένη Καλοκαιρινού."</t>
  </si>
  <si>
    <t>Atkinson, R. F. Ronald Field, 1928-</t>
  </si>
  <si>
    <t>Θεσσαλονίκη : Σύγχρονη Παιδεία, 2012.</t>
  </si>
  <si>
    <t>17 AtkR c/ε 2012</t>
  </si>
  <si>
    <t>Consilia Principium / Francesco Amarelli.</t>
  </si>
  <si>
    <t>Amarelli, Francesco.</t>
  </si>
  <si>
    <t>Napoli : Eugenio Jovene, 1983.</t>
  </si>
  <si>
    <t>328.34(37) AmaF c 1983</t>
  </si>
  <si>
    <t>Consuetudinis amor : fragments d'histoire romaine (II-VI siècles) offerts à Jean-Pierre Callu / édités par François Chausson et Etienne Wolff.</t>
  </si>
  <si>
    <t>Roma : L'Erma di Bretschneider, 2003.</t>
  </si>
  <si>
    <t>34(082.2) CalJ c 2003</t>
  </si>
  <si>
    <t>Αίθουσα τιμητικών τόμων</t>
  </si>
  <si>
    <t>Datenschutz - Prinzipien und Ziele : unter besonderer Berücksichtigung der Entwicklung der Kommunikations- und Systemtheorie / Pelopidas Konstantinos Donos.</t>
  </si>
  <si>
    <t>Δόνος, Πελοπίδας.</t>
  </si>
  <si>
    <t>Baden-Baden : Nomos, 1998.</t>
  </si>
  <si>
    <t>347.15./19(430) ΔανΠ d 1998</t>
  </si>
  <si>
    <t>De opusculis Graecis Aegypti e papyris, ostracis lapidibusque collectis / Georgius Manteuffel.</t>
  </si>
  <si>
    <t>Manteuffel, Georgius.</t>
  </si>
  <si>
    <t>Warszawa : Nakladem towarzystwa naukowego warszawskiego, 1930.</t>
  </si>
  <si>
    <t>091.2(32) ManG o 1930</t>
  </si>
  <si>
    <t>Decision making in environmental law / edited by.</t>
  </si>
  <si>
    <t xml:space="preserve"> LeRoy C. Paddock, Robert L. Glicksman, Nicholas S. Bryner (editors)</t>
  </si>
  <si>
    <t>Cheltenham, UK Northampton, MA, USA : Edward Elgar, c2016.</t>
  </si>
  <si>
    <t>349.6 PadL d 2016</t>
  </si>
  <si>
    <t>Der Hellenismus und der Aufstieg Roms / hrsg. von Grimal Pierre.</t>
  </si>
  <si>
    <t>Frankfurt : Fischer Bucherei, 1965.</t>
  </si>
  <si>
    <t>94(3) GriP h 1965</t>
  </si>
  <si>
    <t>Die Finanzverwaltung im Altertum / Wolfgang Boochs.</t>
  </si>
  <si>
    <t>Boochs, Wolfgang.</t>
  </si>
  <si>
    <t>Sankt Augustin : Richarz, 1985.</t>
  </si>
  <si>
    <t>351.72(3) BooW f 1985</t>
  </si>
  <si>
    <t>Die künstliche Befruchtung beim Menschen : Zulässigkeit und zivilrechtliche Folgen : Gutachten A für den 56. Deutschen Juristentag / erstattet von Christian Starck.</t>
  </si>
  <si>
    <t>München : Beck, 1986.</t>
  </si>
  <si>
    <t>347.56:614.25 StaC k 1986</t>
  </si>
  <si>
    <t>Economia e demografia della schiavitù in Asia Minore ellenistico-romana / Silvia Bussi.</t>
  </si>
  <si>
    <t>Bussi, Silvia.</t>
  </si>
  <si>
    <t>Milano : Edizioni universitarie di lettere economia diritto, c2001.</t>
  </si>
  <si>
    <t>326(392) BusS e 2001</t>
  </si>
  <si>
    <t>Einführung in das sozialistische Recht : Grundlagen, Grundprobleme, System, Quellen, Rechtsbildung, Rechtsverwirklichung / Norbert Reich, Hans-Christian Reichel.</t>
  </si>
  <si>
    <t>Reich, Norbert.</t>
  </si>
  <si>
    <t>München : Beck, 1975.</t>
  </si>
  <si>
    <t>340.12 ReiN e 1975</t>
  </si>
  <si>
    <t>Einführung in die Etruskologie : Probleme, Methoden, Ergebnisse / Ambros Josef Pfiffig.</t>
  </si>
  <si>
    <t>Pfiffig, Ambros Josef, 1910-</t>
  </si>
  <si>
    <t>Darmstadt : Wissenschaftliche Buchgesellschaft, 1972.</t>
  </si>
  <si>
    <t>94(375) PfiJ e 1972</t>
  </si>
  <si>
    <t>Energy law and policy / edited by Usha Tandon foreword by Richad L. Ottinger.</t>
  </si>
  <si>
    <t>New Delhi, India : Oxford University Press, 2018.</t>
  </si>
  <si>
    <t>351.824.11(540) TanU e 2018</t>
  </si>
  <si>
    <t>Energy, economics, and the environment : cases and materials / by Joel B. Eisen ... [et al.].</t>
  </si>
  <si>
    <t>Eisen, Joel B.</t>
  </si>
  <si>
    <t>4th ed.</t>
  </si>
  <si>
    <t>St. Paul, MN : Foundation Press, [2015]</t>
  </si>
  <si>
    <t>351.824.11 EisJ e 2015</t>
  </si>
  <si>
    <t>Αίθουσα Δημαοσίου Δικαίου</t>
  </si>
  <si>
    <t>Entre hommes et dieux : le convive, le héros, le prophète / édité par Annie-France Laurens.</t>
  </si>
  <si>
    <t>[Besancon] : Université de Besancon Paris : Diffusé par les Belles Lettres, 1989.</t>
  </si>
  <si>
    <t>2-264(38) LauA e 1989</t>
  </si>
  <si>
    <t>Environmental integration in competition and free-movement laws / Julian Nowag.</t>
  </si>
  <si>
    <t>Nowag, Julian, 1981-</t>
  </si>
  <si>
    <t>Oxford, United Kingdom : Oxford University Press, 2016.</t>
  </si>
  <si>
    <t>349.6(4-672 EU) NowJ e 2016</t>
  </si>
  <si>
    <t>Environmental law / Lee Godden, Jacqueline Peel, Jan McDonald.</t>
  </si>
  <si>
    <t>Godden, Lee.</t>
  </si>
  <si>
    <t>2nd. ed.</t>
  </si>
  <si>
    <t>Docklands, Victoria, Australia : Oxford University Press, 2019.</t>
  </si>
  <si>
    <t>349.6(94) GodL e 2019</t>
  </si>
  <si>
    <t>Environmental law and policy / by Richard L. Revesz.</t>
  </si>
  <si>
    <t>Revesz, Richard L, 1958-</t>
  </si>
  <si>
    <t>3rd ed.</t>
  </si>
  <si>
    <t>St. Paul, MN : Foundation Press : LEG, Inc. d/b/a West Academic, [2015]</t>
  </si>
  <si>
    <t>341:502/504 RevR e 2015</t>
  </si>
  <si>
    <t>Environmental taxation and the law / edited by Janet E. Milne.</t>
  </si>
  <si>
    <t>Cheltenham, UK : Edward Elgar Publishing Limited, 2017.</t>
  </si>
  <si>
    <t>349.6(410) MilJ e 2017 1</t>
  </si>
  <si>
    <t>Erotica pompeiana : iscrizioni d'amore sui muri di Pompei / Antonio Varone.</t>
  </si>
  <si>
    <t>Varone, Antonio.</t>
  </si>
  <si>
    <t>Roma : Erma di Bretschneider, c1994.</t>
  </si>
  <si>
    <t>736.2(37) VarA e 1994</t>
  </si>
  <si>
    <t>Essai sur les origines du mythe d'Alexandre : (336-270 av. J. -C.) / Paul Goukowsky.</t>
  </si>
  <si>
    <t>Goukowsky, Paul.</t>
  </si>
  <si>
    <t>Nancy : Universite de Nancy II, 1978-</t>
  </si>
  <si>
    <t>94(398) -0323/-0276 GouP e 1978 1</t>
  </si>
  <si>
    <t>Études de droit musulman / par Chakif Chehata préface de Michel Alliot.</t>
  </si>
  <si>
    <t>Chehata, Chafik.</t>
  </si>
  <si>
    <t>[1e ed.]</t>
  </si>
  <si>
    <t>Paris : Presses Universitaires de France, 1971.</t>
  </si>
  <si>
    <t>28-74 CheC e 1971</t>
  </si>
  <si>
    <t>Études mycéniennes : actes du colloque international sur les textes mycéniens (Gif-sur- Yvette, 3-7 Avril 1956) publies par les soins de Michel Lejeune.</t>
  </si>
  <si>
    <t>International Colloquium on Mycenaean Studies (1st 1956: Gif-sur-Yvette, France)</t>
  </si>
  <si>
    <t>Paris : Centre National de la Recherche Scientifique, 1956.</t>
  </si>
  <si>
    <t>003.326(063) ICMS1956 e 1956</t>
  </si>
  <si>
    <t>EU environmental law and policy / David Langlet and Said Mahmoudi.</t>
  </si>
  <si>
    <t>Langlet, David.</t>
  </si>
  <si>
    <t>Oxford : Oxford University Press, 2016.</t>
  </si>
  <si>
    <t>349.6(4-672EU) LanD e 2016</t>
  </si>
  <si>
    <t>From the patrician state to the patricio-plebeian state / by Endre Ferenczy, [translated by G. Dedinszky].</t>
  </si>
  <si>
    <t>Ferenczy, Endre.</t>
  </si>
  <si>
    <t>Budapest : Akadémiai kiadó, 1976.</t>
  </si>
  <si>
    <t>321.1(37) FerE f 1976</t>
  </si>
  <si>
    <t>Geschichte der romischen literatur / von Ludwig Bieler.</t>
  </si>
  <si>
    <t>Bieler, Ludwig, 1906-1981.</t>
  </si>
  <si>
    <t>3. verbesserte Aufl.</t>
  </si>
  <si>
    <t>Berlin New York : Walter de Gruyter, 1972.</t>
  </si>
  <si>
    <t>82 BieL g 1972</t>
  </si>
  <si>
    <t>Greece under the Romans / George Finlay.</t>
  </si>
  <si>
    <t>Finlay, George, 1799-1875.</t>
  </si>
  <si>
    <t>London New York : J. M. Dent : E. P. Dutton, 1907.</t>
  </si>
  <si>
    <t>94(37) FinG g 1907</t>
  </si>
  <si>
    <t>Greek and latin inscriptions on ston in the collections of Charles University / Václav Marek.</t>
  </si>
  <si>
    <t>Marek, Václav.</t>
  </si>
  <si>
    <t>Praha : Univerzita Karlova, 1977.</t>
  </si>
  <si>
    <t>736.2(3) MarV g 1977</t>
  </si>
  <si>
    <t>Greek ostraca in the Ashmolean Museum : from Oxyrthynchus and other sites edited with translations and notes / by John C. Shelton , (O. Ashm. Shelton).</t>
  </si>
  <si>
    <t>Shelton, John C.</t>
  </si>
  <si>
    <t>Firenze : Gonnelli, 1988.</t>
  </si>
  <si>
    <t>091.2(38) O.Ashm.Shelt 1988</t>
  </si>
  <si>
    <t>Griechische und der hellenistiche Staat. Αγγλικά. 1969;"The Greek state/ Victor Ehrenberg."</t>
  </si>
  <si>
    <t>Ehrenberg, Victor, 1891-1976</t>
  </si>
  <si>
    <t>2nd ed.</t>
  </si>
  <si>
    <t>London: Methuen, 1969</t>
  </si>
  <si>
    <t>32(495) EhrV g 1969</t>
  </si>
  <si>
    <t>Αίθουσα Ιστορίας, Θεωρίας και Φιλοσοφίατου Δικαίου</t>
  </si>
  <si>
    <t>Histoire d'une démocratie : Athènes : Des origines à la conquête macedonienne / Claude Mossé.</t>
  </si>
  <si>
    <t>Mossé, Claude, 1924-</t>
  </si>
  <si>
    <t>Paris : Éditions du Seuil, 1971.</t>
  </si>
  <si>
    <t>94(38) MosC h 1971</t>
  </si>
  <si>
    <t>Historia testis : mélanges d'épigraphie, d'histoire ancienne et de philologie offerts à Tadeusz Zawadzki / édités par Marcel Piérart et Olivier Curty.</t>
  </si>
  <si>
    <t>Fribourg, Suisse : Editions universitaires, c1989.</t>
  </si>
  <si>
    <t>34(082.2) ZawT h 1989</t>
  </si>
  <si>
    <t>I contratti di baliatico / Mariadele Manca Masciadri, Orsolina Montevecchi.</t>
  </si>
  <si>
    <t>Manca Masciadri, Mariadele.</t>
  </si>
  <si>
    <t>Milano : [s. n.], 1984.</t>
  </si>
  <si>
    <t>091.2(32) ManM c 1984</t>
  </si>
  <si>
    <t>Il triumvirato costituente alla fine della Repubblica romana : scritti in onore di Mario Attilio Levi / a cura di A. Gara e D. Foraboschi.</t>
  </si>
  <si>
    <t>Como : New Press, 1993.</t>
  </si>
  <si>
    <t>34(082.2) LevM t 1993</t>
  </si>
  <si>
    <t>Individu et justice sociale : autour de John Rawls / C. Audard ... [et al.] préface de François Terré.</t>
  </si>
  <si>
    <t>Audard, Catherine.</t>
  </si>
  <si>
    <t>[Paris] : Éditions du Seuil, 1988.</t>
  </si>
  <si>
    <t>340.114 RawJ i 1988</t>
  </si>
  <si>
    <t>Inscriptions latines &amp; monuments funéraires romains : au musée national de Varsovie / Anna Sadurska.</t>
  </si>
  <si>
    <t>Sadurska, Anna.</t>
  </si>
  <si>
    <t>Varsovie : Warszawska Drukarnia Naukowa, 1953.</t>
  </si>
  <si>
    <t>003.344 SadA i 1953</t>
  </si>
  <si>
    <t>Institutions des Séleucides / E. Bikerman.</t>
  </si>
  <si>
    <t>Bickerman, E. J. (Elias Joseph), 1897-1981.</t>
  </si>
  <si>
    <t>Paris : Libraire Orientaliste Paul Geuthner, 1938.</t>
  </si>
  <si>
    <t>94(35) BicE i 1938</t>
  </si>
  <si>
    <t>Introduction a la lecture de Lacan / Joel Dor τ. 2 . la structure du sujet.</t>
  </si>
  <si>
    <t>Dor, Joël.</t>
  </si>
  <si>
    <t>Paris : Denoel, c1992</t>
  </si>
  <si>
    <t>159.964.2 DorJ i 1985 1</t>
  </si>
  <si>
    <t>Introduction historique au droit / André Castaldo.</t>
  </si>
  <si>
    <t>Castaldo, André.</t>
  </si>
  <si>
    <t>2e éd.</t>
  </si>
  <si>
    <t>Paris : Dalloz, 2003.</t>
  </si>
  <si>
    <t>34(44)(091) CasA i 2003</t>
  </si>
  <si>
    <t>Klimaschutz, Versorgungssicherheit und Wirtschaftlichkeit in der Energiewende / herausgegeben von Markus Ludwigs.</t>
  </si>
  <si>
    <t>Berlin : Duncker &amp; Humblot, 2018.</t>
  </si>
  <si>
    <t>351.824.11 LudM k 2018</t>
  </si>
  <si>
    <t>Konzepte der Privilegierung römischer Veteranen / Stefan Link.</t>
  </si>
  <si>
    <t>Link, Stefan.</t>
  </si>
  <si>
    <t>Stuttgart : Steiner- Verl. Wiesbaden, 1989.</t>
  </si>
  <si>
    <t>355.134(37) LinS k 1988</t>
  </si>
  <si>
    <t>L' aveu antiquite et moyen-age : actes de la table ronde organisee par l' Ecole Francaise de Rome avec le concairs du CNRS et de l' Universite de Trieste, Rome 28-30 Mars 1984.</t>
  </si>
  <si>
    <t>Roma : Ecole Francaise de Rome, 1986.</t>
  </si>
  <si>
    <t>343.144(091)(063) AAMA1984 1986</t>
  </si>
  <si>
    <t>Αίθουσα Ιστορία, Θεωρίας και Φιλοσοφίας του Δικαίου</t>
  </si>
  <si>
    <t>La cité antique / Fustel de Coulanges.</t>
  </si>
  <si>
    <t>Fustel de Coulanges, 1830-1889.</t>
  </si>
  <si>
    <t>Paris : Librairie Hachette, 1900.</t>
  </si>
  <si>
    <t>32(38)(37) CouF c 1900</t>
  </si>
  <si>
    <t>La civiltà ellenistica / William Tarn.</t>
  </si>
  <si>
    <t>Tarn, William Woodthorpe, Sir, 1869-1957.</t>
  </si>
  <si>
    <t>Firenze : La Nuova Italia, 1978.</t>
  </si>
  <si>
    <t>930.85(3) TarW c 1978</t>
  </si>
  <si>
    <t>La cultura ellenistica</t>
  </si>
  <si>
    <t>Adorno Francesco … [et al.]</t>
  </si>
  <si>
    <t>Milano : Bompiani, 1977.</t>
  </si>
  <si>
    <t>930.85(38) AdoF c 1977</t>
  </si>
  <si>
    <t>La Gaule romaine et le droit latin : recherches sur l'histoire administrative et sur la romanisation des habitants : scripta varia 3 / André Chastagnol.</t>
  </si>
  <si>
    <t>Chastagnol, André.</t>
  </si>
  <si>
    <t>Paris : Diffusion de Boccard, 1995.</t>
  </si>
  <si>
    <t>94(37) ChaA g 1995</t>
  </si>
  <si>
    <t>La Gaule, province romaine / Albert Grenier.</t>
  </si>
  <si>
    <t>Grenier, Albert, 1878-1961.</t>
  </si>
  <si>
    <t>Toulouse Paris, Didier [1946]</t>
  </si>
  <si>
    <t>94(37) GreA g 1946</t>
  </si>
  <si>
    <t>La monarchie absolue française : définition, datation, analyse d'un régime politique controversé / Bernard Vonglis.</t>
  </si>
  <si>
    <t>Vonglis, Bernard.</t>
  </si>
  <si>
    <t>Paris : L'Harmattan, c2006.</t>
  </si>
  <si>
    <t>329.21(44) VonB m 2006</t>
  </si>
  <si>
    <t>La peine de mort / Jean Imbert.</t>
  </si>
  <si>
    <t>Imbert, Jean.</t>
  </si>
  <si>
    <t>Paris : Presses universitaires de France, 1972.</t>
  </si>
  <si>
    <t>343.25 ImbJ p 1972</t>
  </si>
  <si>
    <t>La résistance africaine à la romanisation / Marcel Bénabou.</t>
  </si>
  <si>
    <t>Bénabou, Marcel.</t>
  </si>
  <si>
    <t>Paris : F. Maspero, 1976.</t>
  </si>
  <si>
    <t>La royaute en Grece avant Alexandre / par Pierre Carlier.</t>
  </si>
  <si>
    <t>Carlier, Pierre.</t>
  </si>
  <si>
    <t>Strasbourg : AECR, 1984.</t>
  </si>
  <si>
    <t>32(38) CarP r 1984</t>
  </si>
  <si>
    <t>La societa ellenistica / di Adelmo Barigazzi, Pierre Leveque, Domenico Musti.</t>
  </si>
  <si>
    <t>Barigazzi, Adelmo.</t>
  </si>
  <si>
    <t>94(38) BarA s 1977 [1]</t>
  </si>
  <si>
    <t>La società ellenistica : Economia, diritto, religione / di Luigi Moretti ... [et al]</t>
  </si>
  <si>
    <t>Moretti, Luigi.</t>
  </si>
  <si>
    <t>930.85(38) MorL s 1977</t>
  </si>
  <si>
    <t>L'age de l'èloquence : rhétorique et res literaria de la Renaissance au seuil de l'époque classique / Marc Fumaroli.</t>
  </si>
  <si>
    <t>Fumaroli, Marc, 1932-</t>
  </si>
  <si>
    <t>Geneve : Librairie Droz, 1980.</t>
  </si>
  <si>
    <t>808(4)(091) FunM a 1980</t>
  </si>
  <si>
    <t>Le camp romain de Louqsor : (avec une étude des graffites gréco-romains du temple d'Amon) / par Mohammed El-Saghir ... [et al.] avec la collaboration de Rachid Migalla et Luc Gabolde préface de Jean Leclant.</t>
  </si>
  <si>
    <t>El-Saghir, Mohammed.</t>
  </si>
  <si>
    <t>[Cairo] : Institut français d'archéologie orientale, 1986</t>
  </si>
  <si>
    <t>091.2(32) ElSM c 1986</t>
  </si>
  <si>
    <t>Le droit grec après Alexandre / Joseph Mélèze-Modrzejewsk.</t>
  </si>
  <si>
    <t>Mélèze-Modrzejewsk, Joseph.</t>
  </si>
  <si>
    <t>Paris : Dalloz, 2012.</t>
  </si>
  <si>
    <t>34(38) MelJ d 2012</t>
  </si>
  <si>
    <t>Le droit néo-moderne des politiques publiques / par Charles-Albert Morand.</t>
  </si>
  <si>
    <t>Morand, Charles-Albert.</t>
  </si>
  <si>
    <t>Paris : LGDJ, 1999.</t>
  </si>
  <si>
    <t>340.1 MorC d 1999</t>
  </si>
  <si>
    <t>Le Palais de Mallia et la cité minoenne : étude de synthese / Henri van Effenterre.</t>
  </si>
  <si>
    <t>Effenterre, Henri van, 1912-2007.</t>
  </si>
  <si>
    <t>Roma : Edizioni dellʹAteneo, 1980.</t>
  </si>
  <si>
    <t>904:728.8(391) EffH p 1980 1</t>
  </si>
  <si>
    <t>904:728.8(391) EffH p 1980 2</t>
  </si>
  <si>
    <t>Le stratège du nome / Nicolas Hohlwein avant-propos de Jean Bingen.</t>
  </si>
  <si>
    <t>Hohlwein, Nicolas, 1877-1962.</t>
  </si>
  <si>
    <t>Bruxelles : Fondation Égyptologique Reine Élisabeth, 1969.</t>
  </si>
  <si>
    <t>091.2(32) HohN s 1969</t>
  </si>
  <si>
    <t>Leading cases of the Taiwan Constitutional Court. Volume one / [editors Edmund Ryden SJ, Charles Wharton.</t>
  </si>
  <si>
    <t>Ταϊβάν. Consitutional Court.</t>
  </si>
  <si>
    <t>Taiwan : Judicial Yuan, 2018-</t>
  </si>
  <si>
    <t>342.56(529)(094.9) TCC l 2018 1</t>
  </si>
  <si>
    <t>L'Économie royale des Lagides / Claire Préaux.</t>
  </si>
  <si>
    <t>Préaux, Claire.</t>
  </si>
  <si>
    <t>Bruxelles : Édition de la Fondation égyptologique reine Élisabeth, 1939.</t>
  </si>
  <si>
    <t>336(32) PreC e 1939</t>
  </si>
  <si>
    <t>Legal aspects of EU energy regulation : the consolidation of energy law across Europe / ed. by Peter D. Cameron, Raphael J. Heffron.</t>
  </si>
  <si>
    <t>Oxford, United Kingdom Oxford University Press, 2016.</t>
  </si>
  <si>
    <t>351.824.11 CamP l 2016</t>
  </si>
  <si>
    <t>L'Empire en jeux : espace symbolique et pratique sociale dans le monde romain / Monique Clavel-Leveque.</t>
  </si>
  <si>
    <t>Clavel-Lévêque, Monique.</t>
  </si>
  <si>
    <t>Paris : Editions du centre national de la recherche scientifique, 1984.</t>
  </si>
  <si>
    <t>394.3(37) ClaM e 1984</t>
  </si>
  <si>
    <t>Les carriéres sénatoriales dans les provinces romaines d'Anatolie au Haut-Empire (31 av. J.-C.-284 ap. J.-C.) : Pont-Bithynie, Galatie, Cappadoce, Lycie-Pamphylie et Cilicie / Bernard Rémy préface d' André Chastagnol.</t>
  </si>
  <si>
    <t>Rémy, Bernard.</t>
  </si>
  <si>
    <t>Istanbul : Institut franνcais dʹβetudes anatoliennes : Editions Divit, 1989.</t>
  </si>
  <si>
    <t>32(093)(092) RemB c 1989</t>
  </si>
  <si>
    <t>Les élites municipales de l'Italie péninsulaire, des Gracques à Néron : actes de la table ronde de Clermont-Ferrand (28-30 novembre 1991) / sous la direction de Mireille Cébeillac-Gervasoni.</t>
  </si>
  <si>
    <t>Naples : Centre Jean Bérard Rome : Ecole française de Rome, 1996.</t>
  </si>
  <si>
    <t>316.34(37)(063) EMI1991 1996</t>
  </si>
  <si>
    <t>Les grandes figures religieuses : fonctionnement pratique et symbolique dans l'antiquité : Besançon 25-26 avril 1984 / Centre de recherches d'histoire ancienne.</t>
  </si>
  <si>
    <t>Besançon : Annales Littéraires de l'Université de Besançon Paris : Les Belles Lettres, 1986.</t>
  </si>
  <si>
    <t>2(3)(063) CRΗΑ g 1986</t>
  </si>
  <si>
    <t>Les maitres de verite dans la Grece archaique / Marcel Detienne préface de Pierre Vidal-Naquet.</t>
  </si>
  <si>
    <t>Detienne, Marcel.</t>
  </si>
  <si>
    <t>Paris : F. Maspero, c1967.</t>
  </si>
  <si>
    <t>111.83 DetM m 1967</t>
  </si>
  <si>
    <t>Les Monarchies / [essais par] Michel Antoine ... [et al.] ; sous la direction de Emmanuel Le Roy Ladurie.</t>
  </si>
  <si>
    <t>1re ed.</t>
  </si>
  <si>
    <t>Paris : Presses universitaires de France, c1986.</t>
  </si>
  <si>
    <t>329.21(063) MON 1986</t>
  </si>
  <si>
    <t>Les organisations de la jeunesse dans l'Occident romain / Pierre Ginestet.</t>
  </si>
  <si>
    <t>Ginestet, Pierre.</t>
  </si>
  <si>
    <t>Bruxelles : Latomus, 1991.</t>
  </si>
  <si>
    <t>316.35-053.6(37) GinP o 1991</t>
  </si>
  <si>
    <t>Les ressources et les activités économiques des églises en Égypte : du IV au VIII siècle / Ewa Wipszycka.</t>
  </si>
  <si>
    <t>Wipszycka, Ewa.</t>
  </si>
  <si>
    <t>Bruxelles : Fondation Égyptologique Reine Élisabeth, 1972.</t>
  </si>
  <si>
    <t>091.2(32) WipE r 1972</t>
  </si>
  <si>
    <t>L'esclavage dans l'Égypte gréco-romaine / par Iza Bieżuńska-Małowist [traduit par Jerzy Wolf et Janina Kasińska].</t>
  </si>
  <si>
    <t>Bieżuńska-Małowist, Izabela.</t>
  </si>
  <si>
    <t>Wrocław : Zakład Narodowy im. Ossolińskich, 1974-1977.</t>
  </si>
  <si>
    <t>L'orient et la Grece antique / par André Aymard et Jeannine Auboyer.</t>
  </si>
  <si>
    <t>Aymard, André.</t>
  </si>
  <si>
    <t>7e ed. rev.</t>
  </si>
  <si>
    <t>Paris : Presses Universitaires de France, 1985.</t>
  </si>
  <si>
    <t>930.85(3) AymA o 1985</t>
  </si>
  <si>
    <t>Mélanges en l'honneur du professeur Perre Mayer / Bertrand Ancel ... [et al] comité organisateur: Vincent Heuzé, Remy Libchaber, Pascal de Vareilles-Sommières.</t>
  </si>
  <si>
    <t>Ancel, Bertrand.</t>
  </si>
  <si>
    <t>Cedex : LGDJ, 2015.</t>
  </si>
  <si>
    <t>34(082.2) MayP m 2015</t>
  </si>
  <si>
    <t>Mélanges offerts à Jean Dauvillier, professeur honoraire à l'Université des sciences sociales de Toulouse Université des sciences sociales de Toulouse.</t>
  </si>
  <si>
    <t>Toulouse : Centre d'histoire juridique méridionale, Université des sciences sociales, 1979.</t>
  </si>
  <si>
    <t>34(082.2) DauJ m 1979</t>
  </si>
  <si>
    <t>Mémoires de philologie mycénienne / Michel Lejeune.</t>
  </si>
  <si>
    <t>Lejeune, Michel, 1907-2000.</t>
  </si>
  <si>
    <t>Paris : Centre national de la recherche scientifique, 1958-(1997)</t>
  </si>
  <si>
    <t>003.326 LejM m 1958</t>
  </si>
  <si>
    <t>Natural resources and human rights : an appraisal / Jérémie Gilbert.</t>
  </si>
  <si>
    <t>Gilbert, Jérémie.</t>
  </si>
  <si>
    <t>Oxford, United Kingdom : Oxford University Press, 2018.</t>
  </si>
  <si>
    <t>341.231.14:502.21 GilJ n 2018</t>
  </si>
  <si>
    <t>Neue Texte aus dem antiken Unterricht / herausgegeben von Hermann Harrauer und Pieter J. Sijpesteijn.</t>
  </si>
  <si>
    <t>Wien : In Kommission bei Hollinek, 1985.</t>
  </si>
  <si>
    <t>091.2 P.Rain.Unterricht taf. 1985</t>
  </si>
  <si>
    <t>Normes civiques et métier militaire à Rome sous le Principat / par Jacqueline Vendrand-Voyer.</t>
  </si>
  <si>
    <t>Vendrand-Voyer, Jacqueline.</t>
  </si>
  <si>
    <t>Clermont-Ferrand : ADOSA, 1983.</t>
  </si>
  <si>
    <t>355(37) VenJ n 1983</t>
  </si>
  <si>
    <t>Öffentliches Baurecht und Raumordnungsrecht / von Ulrich Battis.</t>
  </si>
  <si>
    <t>Battis, Ulrich.</t>
  </si>
  <si>
    <t>7. überarbeitete Aufl.</t>
  </si>
  <si>
    <t>Stuttgart : Kohlhammer, 2017.</t>
  </si>
  <si>
    <t>349.44(430) BatU o 2017</t>
  </si>
  <si>
    <t>Ostraka greci del museo egizio del Cairo : (O.Cair.GPW) / Claudio Gallazzi, Rosario Pintaudi, Klaas A. Worp.</t>
  </si>
  <si>
    <t>Gallazzi, Claudio.</t>
  </si>
  <si>
    <t>Firenze : Edizioni Gonnelli, 1986.</t>
  </si>
  <si>
    <t>091.2(38) O.Cair GPW 1986</t>
  </si>
  <si>
    <t>Papyri Graecae Wessely Pragenses / Rosario Pintaudi, Ruzena Dostalova, Ladislav Vidman.</t>
  </si>
  <si>
    <t>Pintaudi, Rosario.</t>
  </si>
  <si>
    <t>Firenze : Gonnelli, 1988-2011.</t>
  </si>
  <si>
    <t>091.2(38) P.Prag. I 1988</t>
  </si>
  <si>
    <t>Permutations of responsibility in international law: / Edited by Photini Pazartzis, Panos Merkouris.</t>
  </si>
  <si>
    <t>Leiden : Brill, 2019.</t>
  </si>
  <si>
    <t>341 ΠαζΦ p 2019</t>
  </si>
  <si>
    <t>Polis ed Olympieion a locri epizefiri : costituzione economia e finanze di una città della magna Grecia : editio altera e traduzione delle Tabelle Locresi / a cura di Felice Costabile saggi Carmen Alfaro Giner, Felice Costabile ... [et al.] indici delle tabelle Roberto Fuda, Giovanni Indelli indici del volume Benedetta Carvello ... [et al.].</t>
  </si>
  <si>
    <t>Costabile, Felice.</t>
  </si>
  <si>
    <t>Soveria Mannelli (Catanzaro) : Rubbetino Editore, 1992.</t>
  </si>
  <si>
    <t>736.2(37) CosF p 1992</t>
  </si>
  <si>
    <t>Politik, Recht, Gesellschaft : Studien zur alten geschichte / Heinz Bellen.</t>
  </si>
  <si>
    <t>Bellen, Heinz.</t>
  </si>
  <si>
    <t>Stuttgart : Franz Steiner Verlag, 1997.</t>
  </si>
  <si>
    <t>94(3) BelH p 1997</t>
  </si>
  <si>
    <t>Pour une théorie critique du droit / Léon Raucent.</t>
  </si>
  <si>
    <t>Raucent, Léon.</t>
  </si>
  <si>
    <t>Gembloux : Duculot, 1975.</t>
  </si>
  <si>
    <t>34(091) RauL p 1975</t>
  </si>
  <si>
    <t>Principles of environmental law / edited by Ludwig Krämer, Emanuela Orlando.</t>
  </si>
  <si>
    <t>Northampton, MA : Edward Elgar Publishing, 2018.</t>
  </si>
  <si>
    <t>341:502/504 KraL p 2018</t>
  </si>
  <si>
    <t>Proceedings for the 20th international congress of papyrologists : Copenhagen, 23-29 August, 1992 / collected by Adam Bulow-Jacobsen.</t>
  </si>
  <si>
    <t>International Congress of Papyrologists (20th : 1992 Aug.23-29 : Copenghagen)</t>
  </si>
  <si>
    <t>[Copenhagen] : Museum Tusculanum Press, 1994.</t>
  </si>
  <si>
    <t>091.2(063) ICP1992 p 1994</t>
  </si>
  <si>
    <t>Processi legislativi e teoria generale della funzione del diritto : contributi teorici e ricerche empiriche / Romano Bettini, Sergej Bobotov.</t>
  </si>
  <si>
    <t>Bettini, Romano.</t>
  </si>
  <si>
    <t>Roma : Bentham, 1994.</t>
  </si>
  <si>
    <t>340.115 BetR p 1994</t>
  </si>
  <si>
    <t>Prosopographia Ptolemaica / par W. Peremans et E. vanʹt Dack.</t>
  </si>
  <si>
    <t>Peremans, Willy, 1907-</t>
  </si>
  <si>
    <t>Lovanii : Bibliotheca Universitatis, [1950-1981].</t>
  </si>
  <si>
    <t>929(32) PerW p 1977 1</t>
  </si>
  <si>
    <t>Qu'est-ce qu'une règle de droit? / Denys de Béchillon.</t>
  </si>
  <si>
    <t>Béchillon, Denys de.</t>
  </si>
  <si>
    <t>Paris : O. Jacob, 1997.</t>
  </si>
  <si>
    <t>340.115 BecD q 1997</t>
  </si>
  <si>
    <t>Recherches sur la nature du Genos : étude d'histoire sociale athénienne, périodes archaïque et classique / Félix Bourriot.</t>
  </si>
  <si>
    <t>Bourriot, Félix.</t>
  </si>
  <si>
    <t>Lille : Atelier reproduction des thèses, Université de Lille III Paris : diffusion H. Champion, 1976.</t>
  </si>
  <si>
    <t>Religions and politics in the Hellenistic and Roman periods / Elias J. Bickerman ; edited by Emilio Gabba and Morton Smith.</t>
  </si>
  <si>
    <t>Como : Edizioni New Press, 1985.</t>
  </si>
  <si>
    <t>32(3)(081.2) BicE r 1985</t>
  </si>
  <si>
    <t>Res publica e princeps : vicende politiche, mutamenti istituzionali e ordinamento giuridico da Cesare ad Adriano : atti del Convegno Internationale d Diritto Romano, Copanello 25-27 maggio 1994 / a cura di Francesco Milazzo.</t>
  </si>
  <si>
    <t>Convegno Internazionale di Diritto Romano ( 1994 : Copanello)</t>
  </si>
  <si>
    <t>Napoli : Scientifice Italiane, c1996.</t>
  </si>
  <si>
    <t>34(37)(063) CIDR1994 p 1996</t>
  </si>
  <si>
    <t>Research handbook on emissions trading / edited by Steffan E. Weishaar.</t>
  </si>
  <si>
    <t>Cheltenham, UK : Edward Elgar Publishing, 2016.</t>
  </si>
  <si>
    <t>341:502/504 WeiS r 2016</t>
  </si>
  <si>
    <t>Rois, tributs et paysans : études sur les formations tributaires du Moyen-Orient ancien / Pierre Briant.</t>
  </si>
  <si>
    <t>Briant, Pierre.</t>
  </si>
  <si>
    <t>Paris : Les Belles Lettres, 1982.</t>
  </si>
  <si>
    <t>94(395) BriP r 1982</t>
  </si>
  <si>
    <t>1(37)(091) GarG r 1973 1</t>
  </si>
  <si>
    <t>Schiavitù manomissione e classi dipendenti nel mondo antico.</t>
  </si>
  <si>
    <t>Roma : L'Erma di Bretschneider, 1979.</t>
  </si>
  <si>
    <t>326(3)(063) SMC1976 1979</t>
  </si>
  <si>
    <t>Sociologie historique du droit / Jean Gaudemet.</t>
  </si>
  <si>
    <t>Gaudemet, Jean.</t>
  </si>
  <si>
    <t>Paris : P.U.F., 2000.</t>
  </si>
  <si>
    <t>316.334.4 GauJ s 2000</t>
  </si>
  <si>
    <t>Staat und Staatlichkeit in der frühen römischen Republik : Akten eines Symposiums, 12.-15. Juli 1988, Freie Universität Berlin / mit Beiträgen von C. Ampolo ... [et al.] Herausgeber, Walter Eder.</t>
  </si>
  <si>
    <t>Stuttgart : Steiner, 1990.</t>
  </si>
  <si>
    <t>32(37)- 0510/-0030 SSF1988 1990</t>
  </si>
  <si>
    <t>Stadtbild und Burgerbild im Hellenismus : Kolloquium, Munchen, 24. bis 26. Juni 1993</t>
  </si>
  <si>
    <t>Kolloquium Stadtbild und Burgerbild im Hellenismus (1993 Juni 24-26: Munchen, Germany)</t>
  </si>
  <si>
    <t>Munchen : Beck, 1995.</t>
  </si>
  <si>
    <t>72(38)(063) SBH1993 s 1995</t>
  </si>
  <si>
    <t>Strategi and royal scribes of Roman Egypt : chronological list and index / Guido Bastianini John Whitehorne.</t>
  </si>
  <si>
    <t>Bastianini, Guido.</t>
  </si>
  <si>
    <t>Firenze : Edizioni Gonnelli, 1987.</t>
  </si>
  <si>
    <t>091.2(32) BasG s 1987</t>
  </si>
  <si>
    <t>Studien zur alten Geschichte: / Hermann Strasburger.</t>
  </si>
  <si>
    <t>Strasburger, Hermann, 1909-1985</t>
  </si>
  <si>
    <t>Hildesheim: Georg Olms Verlag, 1982</t>
  </si>
  <si>
    <t>Αίθουσα Ιστορίας, Φιλοσοφίας και Θεωρίας του Δικαίου</t>
  </si>
  <si>
    <t>Textes et documents relatifs a la vie economique et sociale dans lʹEmpire romain, 31 avant J.-C.-225 apres J.-C. / par Gilbert Charles-Picard et Jean Rouge.</t>
  </si>
  <si>
    <t>Charles-Picard, Gilbert.</t>
  </si>
  <si>
    <t>Paris : Societe dʹ edition dʹenseignement superieur, 1969.</t>
  </si>
  <si>
    <t>94(37)(093) ChaG t 1969</t>
  </si>
  <si>
    <t>The ancient city : a study on the religion, laws, and institutions of Greece and Rome</t>
  </si>
  <si>
    <t>Garden City, N.Y. : Doubleday, 1956.</t>
  </si>
  <si>
    <t>32(38)(37) CouF c/a 1956</t>
  </si>
  <si>
    <t>The Bar Kokhba War reconsidered : new perspectives on the Second Jewish Revolt against Rome / edited by Peter Schäfer.</t>
  </si>
  <si>
    <t>Tübingen : Mohr Siebeck, c2003.</t>
  </si>
  <si>
    <t>94(33) -0168/0135 SchP b 2003</t>
  </si>
  <si>
    <t>The Compulsory public services of Roman Egypt / Naphtali Lewis.</t>
  </si>
  <si>
    <t>Lewis, Naphtali</t>
  </si>
  <si>
    <t>1st ed.</t>
  </si>
  <si>
    <t>Firenze : Edizioni Gonnelli, 1982</t>
  </si>
  <si>
    <t>091.2(32) LewN c 1982</t>
  </si>
  <si>
    <t>The compulsory public services of Roman Egypt / Naphtali Lewis.</t>
  </si>
  <si>
    <t>Firenze : Edizioni Gonnelli, 1997</t>
  </si>
  <si>
    <t>091.2(32) LewN c 1997</t>
  </si>
  <si>
    <t>The Habitats Directive in its EU environmental law context : European nature's best hope?</t>
  </si>
  <si>
    <t>Born  Charles-Hubert … [et al.] (editors)</t>
  </si>
  <si>
    <t>London New York : Routledge, Taylor &amp; Francis Group, 2015.</t>
  </si>
  <si>
    <t>349.6(4-672EU)(063) BorC h 2015</t>
  </si>
  <si>
    <t>The origin of writing / Roy Harris.</t>
  </si>
  <si>
    <t>Harris, Roy, 1931-</t>
  </si>
  <si>
    <t>London : Duckworth, c1986.</t>
  </si>
  <si>
    <t>003 HarR o 1986</t>
  </si>
  <si>
    <t>The verb in the Greek non-literary papyri / Basil G. Mandilaras.</t>
  </si>
  <si>
    <t>Μανδηλαράς, Βασίλειος Γ., 1933-</t>
  </si>
  <si>
    <t>Athens : Hellenic Ministry of Culture and Sciences, 1973.</t>
  </si>
  <si>
    <t>811.14'02'367.625 ΜανΒ v 1973</t>
  </si>
  <si>
    <t>Trade-routes and commerce of the Roman empire. Γαλλικά;"Les routes et le trafic commercial dans l'Empire Romain / par M. P. Charlesworth traduction française par G. Blumberg et P. Grimal."</t>
  </si>
  <si>
    <t>Charlesworth, M. P. (Martin Percival), 1895-1950.</t>
  </si>
  <si>
    <t>Paris : Editions de Cluny c1938.</t>
  </si>
  <si>
    <t>339(37) ChaM t/r 1938</t>
  </si>
  <si>
    <t>Tragic failures : how and why we are harmed by toxic chemicals / Carl F. Cranor.</t>
  </si>
  <si>
    <t>Cranor, Carl F.</t>
  </si>
  <si>
    <t>New York, NY : Oxford University Press, 2017.</t>
  </si>
  <si>
    <t>349.6(73) CraC t 2017</t>
  </si>
  <si>
    <t>Varázslás az ókori Egyiptomban Γερμανικά.;"Zauberei im alten Ägypten / László Kákosy [aus dem Ung. übers. von Eszter Szóbel und Ildikó Derzsi].."</t>
  </si>
  <si>
    <t>Kákosy, László.</t>
  </si>
  <si>
    <t>Budapest : Akadémiai Kiadó, 1989.</t>
  </si>
  <si>
    <t>398.47(32) KakL v/z 1989</t>
  </si>
  <si>
    <t>Γενική πολιτειολογία &amp; συνταγματικό δίκαιο / Αθανάσιος Γ. Ράικος.</t>
  </si>
  <si>
    <t>342(495) ΡαιΑ γ 2018 3</t>
  </si>
  <si>
    <t>Γνωμοδοτήσεις και αποφάσεις του Διαρκούς Δικαστηρίου Διεθνούς Δικαιοσύνης</t>
  </si>
  <si>
    <t>Χαρίκλεια Αρώνη, Γεώργιος Γραμματόπουλος, Φώτω Παππά (επιμ.)</t>
  </si>
  <si>
    <t>341.645.5 Αρω γ 2019</t>
  </si>
  <si>
    <t>Δασική νομοθεσία : σχετικές διατάξεις - νομολογία - βιβλιογραφία / επιμέλεια Ευπραξία-Αίθρα Μαρία συνεργασία Αθανάσιος Σπ. Παπαθανασόπουλος, Σοφία Ε. Παυλάκη.</t>
  </si>
  <si>
    <t>347.243(495) ΚΩΔ ΕυπΜ δ 2018</t>
  </si>
  <si>
    <t>Δίκαιο του ελεύθερου ανταγωνισμού / Γεώργιος Δ. Τριανταφυλλάκης.</t>
  </si>
  <si>
    <t>Τριανταφυλλάκης, Γεώργιος, 1957-</t>
  </si>
  <si>
    <t>Αθήνα : Νομική Βιβλιοθήκη, 2014.</t>
  </si>
  <si>
    <t>347.776(4-672EU) ΤριΓ δ 2014</t>
  </si>
  <si>
    <t>351.91 ΛαζΠ δ 2018</t>
  </si>
  <si>
    <t>Εγκληματικότητα ανηλίκων : αιτιολογικές προσεγγίσεις και κοινωνικός έλεγχος / Ανθοζωή Χάιδου.</t>
  </si>
  <si>
    <t>Χάιδου, Ανθοζωή, 1955-.</t>
  </si>
  <si>
    <t>343.915 ΧαιΑ ε 2019</t>
  </si>
  <si>
    <t>Εισαγωγή στο εμπορικό δίκαιο : εμπορικές πράξεις, έμποροι, εμπορικές συμβάσεις / Θωμάς Γ. Χατζηγάγιος</t>
  </si>
  <si>
    <t>Χατζηγάγιος, Θωμάς Γ.</t>
  </si>
  <si>
    <t>Θεσσαλονίκη : Ανικούλα, 2016.</t>
  </si>
  <si>
    <t>347.7(495) ΧατΘ ε 2016</t>
  </si>
  <si>
    <t>Εισηγήσεις εμπορικού δικαίου / Γεώργιος Δ. Τριανταφυλλάκης.</t>
  </si>
  <si>
    <t>Τριανταφυλλάκης, Γεώργιος Δ.</t>
  </si>
  <si>
    <t>Αθήνα : Νομική βιβλιοθήκη, 2018.</t>
  </si>
  <si>
    <t>347.7(495) ΤριΓ ε 2018</t>
  </si>
  <si>
    <t>Εμπράγματο δίκαιο : πανεπιστημιακές παραδόσεις / Χρίστος Λ. Κούσουλας.</t>
  </si>
  <si>
    <t>Κούσουλας, Χρίστος Λ.</t>
  </si>
  <si>
    <t>Αθήνα Θεσσαλονίκη : Εκδόσεις Σάκκουλα, 2007.</t>
  </si>
  <si>
    <t>347.2 ΚουΧ ε 2007</t>
  </si>
  <si>
    <t>Εναλλακτική πολιτική απέναντι στο νεοφιλελευθερισμό / Κώστας Σταμάτης.</t>
  </si>
  <si>
    <t>Σταμάτης, Κώστας.</t>
  </si>
  <si>
    <t>Αθήνα : Ιδεοκίνηση, 1997.</t>
  </si>
  <si>
    <t>32(100) ΣταΚ ε 1997</t>
  </si>
  <si>
    <t>Ενοχικό δίκαιο : γενικό μέρος / Αστέριος Κ. Γεωργιάδης.</t>
  </si>
  <si>
    <t>Γεωργιάδης, Αστέριος Κ.</t>
  </si>
  <si>
    <t>347.4 ΓεωΑ ε 2011</t>
  </si>
  <si>
    <t>Επίτομο ειδικό ενοχικό δίκαιο / Πάνος Κ. Κορνηλάκης.</t>
  </si>
  <si>
    <t>Κορνηλάκης, Πάνος Κ.</t>
  </si>
  <si>
    <t>Αθήνα ; Θεσσαλονίκη : Εκδόσεις Σάκκουλα, 2013.</t>
  </si>
  <si>
    <t>347.45/.5 ΚορΠ ε 2013</t>
  </si>
  <si>
    <t>Επίτομο εμπράγματο δίκαιο / Δημήτριος Η. Παπαστερίου.</t>
  </si>
  <si>
    <t>Παπαστερίου, Δημήτριος Η., 1942-</t>
  </si>
  <si>
    <t>Αθήνα Θεσσαλονίκη : Σάκκουλας, 2011.</t>
  </si>
  <si>
    <t>347.2 ΠαπΔ ε 2011</t>
  </si>
  <si>
    <t>Εργατικές διαφορές : δικονομικά ζητήματα / επιμέλεια: Δημήτριος Ν. Λαδάς συνεργάτες έργου: Ελένη Αντωνιάδου ... [κ.ά.].</t>
  </si>
  <si>
    <t>Λαδάς, Δημήτριος Ν., (Δημήτρης), επιμελητής.</t>
  </si>
  <si>
    <t>349.22 ΛαδΔ ε 2019</t>
  </si>
  <si>
    <t>Ευθύνη παραγωγού για ελαττωματικά προϊόντα / Ιωάννης K. Καράκωστας.</t>
  </si>
  <si>
    <t>Καράκωστας, Ιωάννης K., 1943-</t>
  </si>
  <si>
    <t>Αθήνα Κομοτηνή : Αντ. Ν. Σάκκουλας, 2008.</t>
  </si>
  <si>
    <t>347:366.546 ΚαρΙ ε 2019</t>
  </si>
  <si>
    <t>Ευρωπαϊκή συμπολιτεία : για μια ευρωπαϊκή ένωση των κρατών, των λαών, των πολιτών και του ευρωπαϊκού συνταγματικού πολιτισμού / Δημήτρης Θ. Τσάτσος.</t>
  </si>
  <si>
    <t>Τσάτσος, Δημήτρης Θ., 1933-2010</t>
  </si>
  <si>
    <t>Αθήνα : Λιβάνης, 2007.</t>
  </si>
  <si>
    <t>341.174(4-672EU) ΤσαΔ ε 2007</t>
  </si>
  <si>
    <t>Η απονομή χάριτος : (άρθρ. 47 παρ. 1,2 Συντ.) / Σίμος Μηναϊδης.</t>
  </si>
  <si>
    <t>Μηναΐδης, Σίμος Μ.</t>
  </si>
  <si>
    <t>Αθήνα ; Κομοτηνή : Αντ. Ν. Σάκκουλας, 2004.</t>
  </si>
  <si>
    <t>343.293(495) ΜηνΣ α 2004</t>
  </si>
  <si>
    <t>Η εκτίμηση περιβαλλοντικών επιπτώσεων στην Ευρωπαϊκή Ένωση / Γιώργος Μπάλιας.</t>
  </si>
  <si>
    <t>Μπάλιας, Γιώργος</t>
  </si>
  <si>
    <t>Αθήνα : Παπαζήσης, 2018.</t>
  </si>
  <si>
    <t>349.6(4-672EU) ΜπαΓ ε 2018</t>
  </si>
  <si>
    <t>Η κήρυξη της χώρας σε κατάσταση πολιορκίας / Σίμος Μηναΐδης ; πρόλογος Ξενοφώντα Ι. Κοντιάδη.</t>
  </si>
  <si>
    <t>Μηναϊδης, Σίμος Μ.</t>
  </si>
  <si>
    <t>Αθήνα : Σάκκουλας, 2015-2018.</t>
  </si>
  <si>
    <t>342(495)(091) ΜηνΣ κ 2018 2</t>
  </si>
  <si>
    <t>Η προστασία του πολιτιστικού περιβάλλοντος σε περίοδο οικονομικής κρίσης / Κατερίνα Παπαδοπούλου πρόλογος Σπυρίδων Φλογαΐτης.</t>
  </si>
  <si>
    <t>Παπαδοπούλου, Κατερίνα.</t>
  </si>
  <si>
    <t>Αθήνα: Νομική Βιβλιοθήκη, 2018</t>
  </si>
  <si>
    <t>351.85 ΠαπΚ π 2018</t>
  </si>
  <si>
    <t>Η συνέλευση για το μέλλον της Ευρωπαϊκής Ένωσης / Γ. Παπαδημητρίου, Γ. Καριψιάδης, Κ. Παπανικολάου.</t>
  </si>
  <si>
    <t>Παπαδημητρίου, Γιώργος Αλ., 1944-2009.</t>
  </si>
  <si>
    <t>Αθήνα : Εκδόσεις Παπαζήση, 2002.</t>
  </si>
  <si>
    <t>34(4-672EU) ΠαπΓ σ 2002</t>
  </si>
  <si>
    <t>Η χειραφέτηση της Ευρώπης : συνταγματική θεωρία της ευρωπαϊκής ενοποίησης: επιστημολογικές συνιστώσες / Νέδα Αθ. Κανελλοπούλου-Μαλούχου.</t>
  </si>
  <si>
    <t>Κανελλοπούλου-Μαλούχου, Μαρία-Νέδα Α.</t>
  </si>
  <si>
    <t>Αθήνα : Εκδόσεις Παπαζήση, 2012.</t>
  </si>
  <si>
    <t>342(4-672EU)(091) ΚανΝ χ 2012</t>
  </si>
  <si>
    <t>Θαλάσσιος χωροταξικός σχεδιασμός : επιστημονική εσπερίδα που διοργανώθηκε από το Σπουδαστήριο Πολεοδομικών Ερευνών του ΕΜΠ, την Ελληνική Εταιρεία Περιβάλλοντος και Πολιτισμού και την Επιστημονική Εταιρεία Δικαίου Πολεοδομίας και Χωροταξίας : Ιούνιος 2018 Αίθουσα Τελετων ΕΜΠ - Κτίριο Αβέρωφ.</t>
  </si>
  <si>
    <t>Αθήνα Θεσσαλονίκη : Σάκκουλας, 2018.</t>
  </si>
  <si>
    <t>341.221.2(063) ΘΧΣ2018 2018</t>
  </si>
  <si>
    <t>Ιωάννης Κ. Καράκωστας : φιλίας και μαθητείας χάριν.</t>
  </si>
  <si>
    <t>Αθήνα : Νομική Βιβλιοθήκη, 2017.</t>
  </si>
  <si>
    <t>34(082.2) ΚαρΙ ι 2017 1 + 2</t>
  </si>
  <si>
    <t>Αίθουσα τιμητικών τόμων 1ος</t>
  </si>
  <si>
    <t>Κρίση δημόσιου χρέους και τραπεζικό σύστημα στη ζώνη του ευρώ : εξάλειψη του φαύλου κύκλου στη σχέση μεταξύ κράτους και τραπεζών / Φοίβος Λ. Αθανασίου μετάφραση &amp; γλωσσική επιμέλεια: Τριαντάφυλλος Καρμανιόλας.</t>
  </si>
  <si>
    <t>Αθανασίου, Φοίβος Λ.</t>
  </si>
  <si>
    <t>351.72 ΑθαΦ κ 2018</t>
  </si>
  <si>
    <t>Νομικόν πρόχειρον : (Βουκουρέστιον, 1765): το πρώτον εκδιδόμενον εκ χειρογράφου κώδικος του κρατικού αρχείου Ιασίου / Μιχάηλ Φωτεινόπουλου υπό Παν. Ι. Ζέπου.</t>
  </si>
  <si>
    <t>Ζέπος, Παναγιώτης Ι., 1908-1985.</t>
  </si>
  <si>
    <t>Αθήναι : [χ.ό.], 1959.</t>
  </si>
  <si>
    <t>348 ΖεπΠ ν 1959</t>
  </si>
  <si>
    <t>Αίθουασ Ιστορίας, Θεωρίας και Φιλοσοφίας του Δικαίου</t>
  </si>
  <si>
    <t>Παραδόσεις αστικής ιατρικής ευθύνης : διάλογος με τη νομολογία : ιατρική πράξη, Σύμβαση ιατρικής αγωγής, ιατρικό σφάλμα, Άρθρο 8 ν.2251/1994, συναίνεση ασθενούς, ευθύνη ιδιωτικού θεραπευτηρίου, ευθύνη για ανεπιθύμητη γέννηση / Κατερίνα Φουντεδάκη.</t>
  </si>
  <si>
    <t>Φουντεδάκη, Κατερίνα.</t>
  </si>
  <si>
    <t>347.56:614.25 ΦουΚ π 2018</t>
  </si>
  <si>
    <t>Περιβάλλον - δημόσιες συμβάσεις : νεώτερες εξελίξεις και προβληματισμοί, συνέδριο της Ένωσης Μελών του ΝΣΚ και της ΕΑΑΔΗΣΥ, Ναύπλιο 10-12 Οκωβρίου 2014.</t>
  </si>
  <si>
    <t>Ένωση Μελών του Νομικού Συμβουλίου του Κράτους.</t>
  </si>
  <si>
    <t>351.712:349.6 ΕΜΝΣΚ2014 π 2016</t>
  </si>
  <si>
    <t>Πώς γράφεται το σύνταγμα : συνταγματικός σχεδιασμός και διαβουλευτική δημοκρατία / Ξενοφών Ι. Κοντιάδης</t>
  </si>
  <si>
    <t>Κοντιάδης, Ξενοφών Ι.</t>
  </si>
  <si>
    <t>Αθήνα : Εκδόσεις Παπαζήση, 2018.</t>
  </si>
  <si>
    <t>342.4 ΚονΞ π 2018</t>
  </si>
  <si>
    <t>Σύγχρονη εισαγωγή στην Κοινωνιολογία : κουλτούρα και κοινωνία σε μετάβαση / J.C. Alexander</t>
  </si>
  <si>
    <t>Alexander, Jeffrey C., 1947-</t>
  </si>
  <si>
    <t>Αθήνα : Gutenberg, 2016.</t>
  </si>
  <si>
    <t>316 AleJ c/σ 2016</t>
  </si>
  <si>
    <t>Τι είναι δίκαιο : η νομική επιστήμη για όλους / Απόστολος Γεωργιάδης.</t>
  </si>
  <si>
    <t>Γεωργιάδης, Απόστολος Σ., 1935-</t>
  </si>
  <si>
    <t>Κρήτη : Πανεπιστημιακές Εκδόσεις Κρήτης, 2018.</t>
  </si>
  <si>
    <t>34(495) ΓεωΑ τ 2018</t>
  </si>
  <si>
    <t>Το πρόβλημα της Ευθανασίας : πρακτικά Επιστημονικού Συμποσίου για την ευθανασία που διοργανώθηκε από την Ειδική Συνοδική Επιτροπή Βιοηθικής της Ιεράς Συνόδου της Εκκλησίας της Ελλάδος στις 17 και 18 Μαίου 2002 στη Νεάπολη Θεσσαλονίκης.</t>
  </si>
  <si>
    <t>Αθήνα : Αποστολική Διακονία, 2003.</t>
  </si>
  <si>
    <t>179.7(063) ΙΣΕΕ π 2003</t>
  </si>
  <si>
    <t>Το συνταξιοδοτικό καθεστώς ΕΦΚΑ / Kέντρο Eρευνάς και Mελέτης Kοινωνικών Aσφαλίσεων.</t>
  </si>
  <si>
    <t>Αθήνα : KEMKA, 2018.</t>
  </si>
  <si>
    <t>349.3 ΣΥΝ 2018</t>
  </si>
  <si>
    <t>Υπερεδαφική εκτέλεση κατά το ευρωπαϊκό δίκαιο : σε αστικές και εμπορικές υποθέσεις / Βασιλική Μαραζοπούλου πρόλογος: Χάρης Π. Παμπούκης.</t>
  </si>
  <si>
    <t>Μαραζοπούλου, Βασιλική Χ.</t>
  </si>
  <si>
    <t>Αθήνα : Νομική Βιβλιοθήκη, c2015.</t>
  </si>
  <si>
    <t>341.985(4-672EU) ΜαζΒ υ 2015</t>
  </si>
  <si>
    <t>Φάκελος Κύπρου / Βουλή των Ελλήνων: γενικός συντονισμός: Βάσω Τσακανίκα γενική επιμέλεια: Έλλη Δρούλια επιμέλεια: Όλια Ησαΐα, Άρης Σωτηρόπουλος Βουλή των Αντιπροσώπων: γενικός συντονισμός: Ελένη Ηλιάδη επιμέλεια: Φλώρα Φλουρέντζου, Συλβάνα Βανέζου.</t>
  </si>
  <si>
    <t>Αθήνα : Βουλή των Ελλήνων Λευκωσία : Βουλή των Αντιπροσώπων, 2018-</t>
  </si>
  <si>
    <t>94(564.3) 19 ΕΒ φ 2019 5 + 6</t>
  </si>
  <si>
    <t>Φιλοτιμίαι επιτελεύτιοι και η περιουσιακή θέση του επιζώντος συζύγου στο βυζαντινό δίκαιο / Δάφνη Παπαδάτου.</t>
  </si>
  <si>
    <t>Παπαδάτου, Δάφνη.</t>
  </si>
  <si>
    <t>Θεσσαλονίκη : University Studio Press, 2008.</t>
  </si>
  <si>
    <t>347.626*(39) ΠαπΔ φ 2008</t>
  </si>
  <si>
    <t>Ψηφιακός καπιταλισμός, νεοφιλελεύθερη παγκοσμιοποίηση και εργατικό δίκαιο / Δημήτρης Α. Τραυλός-Τζανετάτος.</t>
  </si>
  <si>
    <t>Τραυλός-Τζανετάτος, Δημήτρης Α., 1943-</t>
  </si>
  <si>
    <t>Αθήνα: Επιθεώρηση Εργατικού Δικαίου, 2017.</t>
  </si>
  <si>
    <t>349.283(04) ΤραΔ ψ 2017</t>
  </si>
  <si>
    <t>A critical introduction to international criminal law / Carsten Stahn, Universiteit Leiden.</t>
  </si>
  <si>
    <t>Stahn, Carsten, 1971-</t>
  </si>
  <si>
    <t>Cambridge, United Kingdom New York, NY, USA : Cambridge University Press, 2019.</t>
  </si>
  <si>
    <t>341.4 CarS c 2019</t>
  </si>
  <si>
    <t>A digest of WTO jurisprudence on public international law concepts and principles / Graham Cook.</t>
  </si>
  <si>
    <t>Cook, Graham.</t>
  </si>
  <si>
    <t>Cambridge, United Kingdom : Cambridge University Press, 2015.</t>
  </si>
  <si>
    <t>346(06) ΠΟΕ CooG d 2015</t>
  </si>
  <si>
    <t>A guide to state succession in international investment law / Patrick Dumberry.</t>
  </si>
  <si>
    <t>Dumberry, Patrick.</t>
  </si>
  <si>
    <t>Northampton, MA : Edward Elgar Pub., 2018.</t>
  </si>
  <si>
    <t>341.218 DumP g 2018</t>
  </si>
  <si>
    <t>A handbook on the WTO TRIPS agreement / edited by Antony Taubman, Hannu Wager, and Jayashree Watal.</t>
  </si>
  <si>
    <t>Cambridge ; New York : Cambridge University Press, 2012</t>
  </si>
  <si>
    <t>341.96:347.77 TauA h 2012</t>
  </si>
  <si>
    <t>A realistic theory of law / Brian Z. Tamanaha.</t>
  </si>
  <si>
    <t>Tamanaha, Brian Z.</t>
  </si>
  <si>
    <t>Cambridge, United Kingdom : Cambridge University Press, 2017.</t>
  </si>
  <si>
    <t>340.12 TamB r 2017</t>
  </si>
  <si>
    <t>A study of mixed legal systems : endangered, entrenched, or blended / by Sue Farran, Esin Örücü and Seán Patrick Donlan.</t>
  </si>
  <si>
    <t>Farran, Susan.</t>
  </si>
  <si>
    <t>Farnham, Surrey, England Burlington, [Vermont] : Ashgate Publishing Group, 2014.</t>
  </si>
  <si>
    <t>340.5 FarS s 2014</t>
  </si>
  <si>
    <t>A theory of legitimate expectations for public administration / Alexander Brown.</t>
  </si>
  <si>
    <t>Brown, Alexander, 1974-</t>
  </si>
  <si>
    <t>Oxford, UK : Oxford University Press, 2017.</t>
  </si>
  <si>
    <t>35 BroA t 2017</t>
  </si>
  <si>
    <t>Accession to the World Trade Organisation : a legal analysis / Dylan Geraets.</t>
  </si>
  <si>
    <t>Geraets, Dylan.</t>
  </si>
  <si>
    <t>Cheltenham, UK : Edward Elgar Publishing, 2018.</t>
  </si>
  <si>
    <t>346(06) ΠΟΕ GerD a 2018</t>
  </si>
  <si>
    <t>Administrative law / Timothy Endicott.</t>
  </si>
  <si>
    <t>Endicott, Timothy Andrew Orville.</t>
  </si>
  <si>
    <t>342.9(410) EndT a 2018</t>
  </si>
  <si>
    <t>Alibis of empire : Henry Maine and the ends of liberal imperialism / Karuna Mantena.</t>
  </si>
  <si>
    <t>Mantena, Karuna, 1974-</t>
  </si>
  <si>
    <t>Princeton, N.J. : Princeton University Press, c2010.</t>
  </si>
  <si>
    <t>325 ManK a 2010</t>
  </si>
  <si>
    <t>Anthropology and law : a critical introduction / Mark Goodale foreword by Sally Engle Merry.</t>
  </si>
  <si>
    <t>Goodale, Mark.</t>
  </si>
  <si>
    <t>New York : New York University Press, 2017.</t>
  </si>
  <si>
    <t>34:39 GooM a 2017</t>
  </si>
  <si>
    <t>Anthropology through the looking glass. Ελληνικά;"Η ανθρωπολογία μέσα από τον καθρέπτη : κριτική εθνογραφία της Ελλάδας και της Ευρώπης / Michael Herzfeld μετάφραση Ράνια Αστρινάκη επιστημονική θεώρηση Ευθύμιος Παπαταξιάρχης."</t>
  </si>
  <si>
    <t>Herzfeld, Michael, 1947-</t>
  </si>
  <si>
    <t>Αθήνα : Αλεξάνδρεια, 1998.</t>
  </si>
  <si>
    <t>39(4) HerM a/α 1998</t>
  </si>
  <si>
    <t>Arbitration of international mining disputes : law and practice / Henry G. Burnett, Louis-Alexis Bret.</t>
  </si>
  <si>
    <t>Burnett, Henry G.</t>
  </si>
  <si>
    <t>Oxford, United Kingdom : Oxford University Press, 2017.</t>
  </si>
  <si>
    <t>341.6 BurH a 2017</t>
  </si>
  <si>
    <t>Bellamy &amp; child : European Union law of competition / edited by David Bailey, Laura Elizabeth John.</t>
  </si>
  <si>
    <t>9th ed.</t>
  </si>
  <si>
    <t>New York, NY : Oxford University Press, 2018.</t>
  </si>
  <si>
    <t>347.776(4-672EU) BaiD b 2018</t>
  </si>
  <si>
    <t>Big data and competition policy / Maurice E. Stucke, Allen P. Grunes.</t>
  </si>
  <si>
    <t>Stucke, Maurice.</t>
  </si>
  <si>
    <t>Oxford: Oxford University Press, 2016.</t>
  </si>
  <si>
    <t>347.776 StuM b 2016</t>
  </si>
  <si>
    <t>Buddhism and law : an introduction / edited by Rebecca Redwood French, Mark A. Nathan.</t>
  </si>
  <si>
    <t>New York, NY : Cambridge University Press, 2014.</t>
  </si>
  <si>
    <t>24-74 FreR b 2014</t>
  </si>
  <si>
    <t>Byzanz : historisch-kulturwissenschaftliches Handbuch / herausgegeben von Falko Daim.</t>
  </si>
  <si>
    <t>Suttgart : J.M. Metzle-Verlag, 2016.</t>
  </si>
  <si>
    <t>930.85*(39) DaiF b 2016</t>
  </si>
  <si>
    <t>Carbon capture ans storage : emerging legal and regulatory issues / edited by Ian Havercroft, Richard Macrory and Richard Stewart.</t>
  </si>
  <si>
    <t>Oxford Portland, Oregon : Hart Publishing, 2018.</t>
  </si>
  <si>
    <t>351.824.11 HavI c 2018</t>
  </si>
  <si>
    <t>Cases &amp; materials on constitutional &amp; administrative law / Brian Thompson, LLB, MLitt Michael Gordon, MA, PhD.</t>
  </si>
  <si>
    <t>Thompson, Brian, 1955-|</t>
  </si>
  <si>
    <t>12th ed.</t>
  </si>
  <si>
    <t>342(410)(094.9) ThoB c 2017</t>
  </si>
  <si>
    <t>Cases &amp; materials on international law / Martin Dixon, Robert McCorquodale, Sarah Williams.</t>
  </si>
  <si>
    <t>Dixon, Martin.</t>
  </si>
  <si>
    <t>6th ed.</t>
  </si>
  <si>
    <t>Oxford : Oxford University Press, [2016]</t>
  </si>
  <si>
    <t>341.29 DixM c 2016</t>
  </si>
  <si>
    <t>Cases and materials on EU law / Stephen Weatherill.</t>
  </si>
  <si>
    <t>Weatherill, Stephen, 1961-</t>
  </si>
  <si>
    <t>34(4-672EU)(094.9) WeaS c 2016</t>
  </si>
  <si>
    <t>Cassese's international criminal law / revised by Antonio Cassese ... [et al.].</t>
  </si>
  <si>
    <t>Cassese, Antonio.</t>
  </si>
  <si>
    <t>3rd. ed.</t>
  </si>
  <si>
    <t>Oxford : Oxford University Press, 2013.</t>
  </si>
  <si>
    <t>341.4 CasA c 2013</t>
  </si>
  <si>
    <t>Citizen and subject : contemporary Africa and the legacy of late colonialism / Mahmood Mamdani.</t>
  </si>
  <si>
    <t>Mamdani, Mahmood, 1946-</t>
  </si>
  <si>
    <t>Princeton, N.J. : Princeton University Press, 1996.</t>
  </si>
  <si>
    <t>325(6) MamM c 2016</t>
  </si>
  <si>
    <t>Community interests across international law / edited by Eyal Benvenisti and Georg Nolte associate editor Keren Yalin-Mor.</t>
  </si>
  <si>
    <t>Oxford, UK : Oxford University Press, 2018.</t>
  </si>
  <si>
    <t>341 BenE c 2018</t>
  </si>
  <si>
    <t>Αίθουσα Δημοσίου Δικαίου και Εμπορικού Δικαίου</t>
  </si>
  <si>
    <t>Comparative competition law and economics / Roger Van den Bergh with Peter Camesasca, Andrea Giannaccari.</t>
  </si>
  <si>
    <t>Bergh, Roger van den.</t>
  </si>
  <si>
    <t>Cheltenham, UK Northampton, MA : Edward Elgar Publishing, 2017.</t>
  </si>
  <si>
    <t>347.776.05 BerR c 2017</t>
  </si>
  <si>
    <t>Comparative law and anthropology / edited by James A.R. Nafziger .</t>
  </si>
  <si>
    <t>Cheltenham, UK : Edward Elgar Publishing, [2017].</t>
  </si>
  <si>
    <t>34:39 NafJ c 2017</t>
  </si>
  <si>
    <t>Comparative law and economics / Ugo Mattei.</t>
  </si>
  <si>
    <t>Mattei, Ugo.</t>
  </si>
  <si>
    <t>Ann Arbor : University of Michigan Press, c1997.</t>
  </si>
  <si>
    <t>340.5 MatU c 1997</t>
  </si>
  <si>
    <t>Comparative legal history / edited by Olivier Moréteau, Aniceto Masferrer, Kjell Å. Modéer.</t>
  </si>
  <si>
    <t>Cheltenham, UK Northampton, MA : Edward Elgar Pub., [2019]</t>
  </si>
  <si>
    <t>340.5(091) MorO c 2019</t>
  </si>
  <si>
    <t>Comparing law : comparative law as reconstruction of collective commitments / Catherine Valcke.</t>
  </si>
  <si>
    <t>Valcke, Catherine.</t>
  </si>
  <si>
    <t>Cambridge [UK] New York, NY : Cambridge University Press, 2018.</t>
  </si>
  <si>
    <t>340.5 ValC c 2018</t>
  </si>
  <si>
    <t>Competition law / Richard Whish and David Bailey.</t>
  </si>
  <si>
    <t>Whish, Richard.</t>
  </si>
  <si>
    <t>Oxford: Oxford University, 2015.</t>
  </si>
  <si>
    <t>347.776(4-672EU) WhiR c 2018</t>
  </si>
  <si>
    <t>Concepts of law : comparative, jurisprudential, and social science perspectives / edited by Seán Patrick Donlan and Lukas Heckendorn Urscheler.</t>
  </si>
  <si>
    <t>London New York : Routledge, 2014.</t>
  </si>
  <si>
    <t>340.5 DonS c 2014</t>
  </si>
  <si>
    <t>Constitutional and administrative law / Neil Parpworth.</t>
  </si>
  <si>
    <t>Parpworth, Neil.</t>
  </si>
  <si>
    <t>10th ed.</t>
  </si>
  <si>
    <t>Oxford : Oxford University Press, c2018.</t>
  </si>
  <si>
    <t>342(410) ParN c 2018</t>
  </si>
  <si>
    <t>Copyright and the Court of Justice of the European Union / Eleonora Rosati.</t>
  </si>
  <si>
    <t>Rosati, Eleonora.</t>
  </si>
  <si>
    <t>Oxford, United Kingdom : Oxford University Press, 2019.</t>
  </si>
  <si>
    <t>347.78(4-672EU) RosE c 2019</t>
  </si>
  <si>
    <t>Critical theory in critical times : transforming the global political and economic order / edited by Penelope Deutscher and Cristina Lafont.</t>
  </si>
  <si>
    <t>New York : Columbia University Press, 2017.</t>
  </si>
  <si>
    <t>32.01 DeuP c 2017</t>
  </si>
  <si>
    <t>Das rückgwährschuldverhältnis :/ Michael Sonnentag.</t>
  </si>
  <si>
    <t>Sonnentag, Michael.</t>
  </si>
  <si>
    <t>Tübingen : Mohr Siebeck, 2016.</t>
  </si>
  <si>
    <t>341.96:347.751 SonM r 2016</t>
  </si>
  <si>
    <t>Define and rule : native as political identity / Mahmood Mamdani.</t>
  </si>
  <si>
    <t>Cambridge, Mass : Harvard University Press, 2012.</t>
  </si>
  <si>
    <t>325 MamM d 2012</t>
  </si>
  <si>
    <t>Deutsches Strafrecht, Allgemeiner Teil : Studienbuch in systematischer induktiver Darstellung / begründet von Volker Krey fortgefürt von Robert Esser.</t>
  </si>
  <si>
    <t>Krey, Volker.</t>
  </si>
  <si>
    <t>Stuttgart : Kohlhammer, 2012.</t>
  </si>
  <si>
    <t>343.2(430) KreV d 2012</t>
  </si>
  <si>
    <t>Die Quellen des byzantinischen Rechts / Spyros Troianos übersetzt von Dieter Simon und Silvia Neye.</t>
  </si>
  <si>
    <t>Τρωϊανός, Σπυρίδων Ν., 1933-</t>
  </si>
  <si>
    <t>Berlin : De Gruyter, [2017]</t>
  </si>
  <si>
    <t>34*(39)(094) ΤρωΣ π/q 2017</t>
  </si>
  <si>
    <t>Domestic law in international investment arbitration / Jarrod Hepburn.</t>
  </si>
  <si>
    <t>Hepburn, Jarrod.</t>
  </si>
  <si>
    <t>New York : Oxford University Press, 2017.</t>
  </si>
  <si>
    <t>346.54 HepJ d 2017</t>
  </si>
  <si>
    <t>Dominus mundi : political sublime and the world order / Pier Giuseppe Monateri.</t>
  </si>
  <si>
    <t>Monateri, P. G.</t>
  </si>
  <si>
    <t>34(37)(091) MonP d 2018</t>
  </si>
  <si>
    <t>Droit de l'environnement / Michel Prieur avec la collaboration de Julien Bétaille, Marie-Anne Cohendet, Hubert Delzangles, Jessica Makowiak, Pascale Steichen.</t>
  </si>
  <si>
    <t>Prieur, Michel.</t>
  </si>
  <si>
    <t>7e éd.</t>
  </si>
  <si>
    <t>Paris : Dalloz, 2016.</t>
  </si>
  <si>
    <t>349.6 PriM d 2016</t>
  </si>
  <si>
    <t>Droit de l'environnement et du développement durable / Raphaël Romi avec la collaboration de Gaëlle Audrain-Demey et Blanche Lormeteau.</t>
  </si>
  <si>
    <t>Romi, Raphaël.</t>
  </si>
  <si>
    <t>10 éd.</t>
  </si>
  <si>
    <t>Issy-les-Moulineaux : LGDJ, 2018.</t>
  </si>
  <si>
    <t>349.6 RomR d 2018</t>
  </si>
  <si>
    <t>Droit de l'urbanisme / Henri Jacquot, Francois Priet.</t>
  </si>
  <si>
    <t>Jacquot, Henri, 1937-</t>
  </si>
  <si>
    <t>Paris : Dalloz, 2015.</t>
  </si>
  <si>
    <t>349.44 JacH d 2015</t>
  </si>
  <si>
    <t>Droit européen de l'environnement : jurisprudence commentée / Marc Clément.</t>
  </si>
  <si>
    <t>Clément, Marc 1962-</t>
  </si>
  <si>
    <t>3e éd.</t>
  </si>
  <si>
    <t>Bruxelles : Larcier, 2016.</t>
  </si>
  <si>
    <t>349.6(4-672EU)(094.9) CleM d 2016</t>
  </si>
  <si>
    <t>Droit talmudique. English;"An introduction to Jewish law / Francois-Xavier Licari."</t>
  </si>
  <si>
    <t>Licari, François-Xavier.</t>
  </si>
  <si>
    <t>26-74 LicF d/i 2019</t>
  </si>
  <si>
    <t>Drug control in a free society / James B. Bakalar, Lester Grinspoon.</t>
  </si>
  <si>
    <t>Bakalar, James B., 1943-</t>
  </si>
  <si>
    <t>Cambridge [Cambridgeshire] New York : Cambridge University Press, 1984</t>
  </si>
  <si>
    <t>343.976 BakJ d 1984</t>
  </si>
  <si>
    <t>Drugs and rights / Douglas N. Husak.</t>
  </si>
  <si>
    <t>Husak, Douglas N., 1948-</t>
  </si>
  <si>
    <t>Cambridge [England] ; New York, NY, USA : Cambridge University Press, 1992, 1996 [ανατύπωση]</t>
  </si>
  <si>
    <t>343.976 HusD d 1992</t>
  </si>
  <si>
    <t>Ανατύπωση 1996;"Αίθουσα Ποινικού Δικαίου και Εργατικού Δικαίου"</t>
  </si>
  <si>
    <t>Economics for competition lawyers / Gunnar Niels, Helen Jenkins, James Kavanagh.</t>
  </si>
  <si>
    <t>Niels, Gunnar.</t>
  </si>
  <si>
    <t>Oxford , United Kingdom : Oxford University Press, 2016.</t>
  </si>
  <si>
    <t>347.776 NieG e 2016</t>
  </si>
  <si>
    <t>Einführung in die Rechtsphilosophie und Rechtstheorie der Gegenwart / hrsg. von Winfried Hassemer, Ulfrid Neumann, Frank Saliger mit Beitr. von Alfred Büllesbach ... [et al.].</t>
  </si>
  <si>
    <t>9., neu bearb. und erweiterte Aufl.</t>
  </si>
  <si>
    <t>Heidelberg : C.F. Müller, [2016]</t>
  </si>
  <si>
    <t>340.12 HasW e 2016</t>
  </si>
  <si>
    <t>Emissions trading schemes : markets, states and law / Bogojević Sanja.</t>
  </si>
  <si>
    <t>Bogojević, Sanja, 1982-</t>
  </si>
  <si>
    <t>Oxford Portland, Oregon: Hart Publishing, 2013.</t>
  </si>
  <si>
    <t>349.6 BogS e 2013</t>
  </si>
  <si>
    <t>Energierecht : Einführung und Grundlagen / Kai Uwe Pritzsche, Vivien Vacha.</t>
  </si>
  <si>
    <t>Pritzsche, Kai Uwe.</t>
  </si>
  <si>
    <t>München : C. H. Beck, 2017.</t>
  </si>
  <si>
    <t>351.824.11 PriK e 2017</t>
  </si>
  <si>
    <t>Environmental judicial review / Richard Moules.</t>
  </si>
  <si>
    <t>Moules, Richard.</t>
  </si>
  <si>
    <t>Oxford Portland, Oregon : Hart Publishing, 2011.</t>
  </si>
  <si>
    <t>349.6 MouR e 2011</t>
  </si>
  <si>
    <t>Environmental principles and the evolution of environmental law / Eloise Scotford.</t>
  </si>
  <si>
    <t>Scotford, Eloise, 1978-</t>
  </si>
  <si>
    <t>Oxford Portland, Oregon: Hart Publishing, 2017.</t>
  </si>
  <si>
    <t>349.6 ScoE e 2017</t>
  </si>
  <si>
    <t>Environmental rights in Europe and beyond / edited by Sanja Bogojević and Rosemary Rayfuse.</t>
  </si>
  <si>
    <t>Oxford New York: Hart, 2018.</t>
  </si>
  <si>
    <t>349.6:342.7 BogS e 2018</t>
  </si>
  <si>
    <t>EU administrative law / Paul Craig.</t>
  </si>
  <si>
    <t>Craig, P. P. (Paul P.)</t>
  </si>
  <si>
    <t>Oxford Oxford University Press, 2018.</t>
  </si>
  <si>
    <t>342.9(4-672EU) CraP e 2018</t>
  </si>
  <si>
    <t>EU competition law : text, cases, and materials / Prof Alison Jones, Prof Brenda Sufrin.</t>
  </si>
  <si>
    <t>Jones, Alison.</t>
  </si>
  <si>
    <t>Oxford, UK New York, NY : Oxford University Press, 2016.</t>
  </si>
  <si>
    <t>347.776(4-672EU) JonA e 2016</t>
  </si>
  <si>
    <t>EU justice and home affairs law / Steve Peers.</t>
  </si>
  <si>
    <t>Peers, Steve.</t>
  </si>
  <si>
    <t>Oxford, UK Oxford University Press, 2016-</t>
  </si>
  <si>
    <t>34(4-762EU) PeeS e 2016</t>
  </si>
  <si>
    <t>Αίθουσα Διεθνους Δικαίου και Εμπορικού Δικαίου</t>
  </si>
  <si>
    <t>EU law :text, cases, and materials / Paul Craig and Gráinne de Búrca.</t>
  </si>
  <si>
    <t>Craig, Paul.</t>
  </si>
  <si>
    <t>Oxford : Oxford University Press, 2015.</t>
  </si>
  <si>
    <t>34(4-672EU) CraP e 2015</t>
  </si>
  <si>
    <t>EU securities and financial markets regulation / Niamh Moloney.</t>
  </si>
  <si>
    <t>Moloney, Niamh.</t>
  </si>
  <si>
    <t>Oxford, United Kingdom Oxford University Press, 2014.</t>
  </si>
  <si>
    <t>346.45(4-672EU) MolN e 2014</t>
  </si>
  <si>
    <t>EU succession Regulation no 650/2012 : a commentary / edited P. Pamboukis.</t>
  </si>
  <si>
    <t>Αθήνα : Νομική Βιβλιοθήκη München : C.H. Beck Baden-Baden : Nomos, 2017.</t>
  </si>
  <si>
    <t>347.65(4-672EU) ΠαμΧ e 2017</t>
  </si>
  <si>
    <t>Αίθουσα Αστικού Δικαίου και Αστικού Δικονομικού Δικαίου</t>
  </si>
  <si>
    <t>European convention on human rights and general international law / edited by Anne van Aaken and Iulia Motoc.</t>
  </si>
  <si>
    <t>Oxford : Oxford University Press, 2018.</t>
  </si>
  <si>
    <t>341.231.14 AakA e 2018</t>
  </si>
  <si>
    <t>European union law : text and materials / by Damian Cahalmers Gareth Davies Giorgio Monti.</t>
  </si>
  <si>
    <t>Chalmers, Damian.</t>
  </si>
  <si>
    <t>Cambridge : Cambridge University, c2014.</t>
  </si>
  <si>
    <t>34(4-672EU) ChaD e 2014</t>
  </si>
  <si>
    <t>Foreign investment under the Comprehensive Economic and Trade Agreement (CETA) / edited by Makane Moïse Mbengue, Stefanie Schacherer.</t>
  </si>
  <si>
    <t>Cham : Springer, 2019.</t>
  </si>
  <si>
    <t>341.96:347.73 MbeM f 2019</t>
  </si>
  <si>
    <t>Freedom of transit and access to gas pipeline networks under WTO law / Vitaliy Pogoretskyy.</t>
  </si>
  <si>
    <t>Pogoretskyy, V. N. (Vitaliy Nikolaevich).</t>
  </si>
  <si>
    <t>Cambridge : Cambridge University Press, 2017.</t>
  </si>
  <si>
    <t>351.824.11 PogV f 2017</t>
  </si>
  <si>
    <t>General principles of law : European and comparative perspectives / edited by Stefan Vogenauer and Stephen Weatherill.</t>
  </si>
  <si>
    <t>Oxford Portland, Oregon : Hart Publishing, 2017.</t>
  </si>
  <si>
    <t>34(4-672EU) VogS g 2017</t>
  </si>
  <si>
    <t>General principles of law and international due process : principles and norms applicable in transnational disputes / Charles T. Kotuby Jr. and Luke A. Sobota.</t>
  </si>
  <si>
    <t>Kotuby, Charles T.</t>
  </si>
  <si>
    <t>341.01 KotC g 2017</t>
  </si>
  <si>
    <t>Good faith and international economic law / edited by Andrew D. Mitchell, M. Sornarajah, Tania Voon.</t>
  </si>
  <si>
    <t>Oxford, United Kingdom : Oxford University Press, 2015.</t>
  </si>
  <si>
    <t>346 MitA g 2015</t>
  </si>
  <si>
    <t>Grands arrȇts du droit de l'environnement / Philippe Billet, Jean-Marc Février, Grégory Kalfèche, Aurore Laget-Annamayer, Isabelle Michallet, Jean-Baptiste Seube.</t>
  </si>
  <si>
    <t>Billet, Philippe.</t>
  </si>
  <si>
    <t>Paris : Dalloz, 2017.</t>
  </si>
  <si>
    <t>349.6(094.9) BilP g 2017</t>
  </si>
  <si>
    <t>Grund und Grenzen transnationaler Strafrechtspflege : eine strafprozessuale Untersuchung der Rechtshilfe unter besonderer Berücksichtigung des Prinzips gegenseitiger Anerkennung in der EU /von Benjamin Roger.</t>
  </si>
  <si>
    <t>Roger, Benjamin.</t>
  </si>
  <si>
    <t>Berlin : Duncker &amp; Humblot, 2016.</t>
  </si>
  <si>
    <t>343.1(4-672EU) RogB g 2016</t>
  </si>
  <si>
    <t>Handbuch Umweltrecht / Herasgegeben von Hans-Joachim Koch, Ekkhard Hofmann, Moritz Reese.</t>
  </si>
  <si>
    <t>5., überarbeitete Aufl.</t>
  </si>
  <si>
    <t>349.6 KocH h 2018</t>
  </si>
  <si>
    <t>Hate : why we should resist it with free speech, not censorship / Nadine Strossen.</t>
  </si>
  <si>
    <t>Strossen, Nadine.</t>
  </si>
  <si>
    <t>342.727(73) StrN h 2018</t>
  </si>
  <si>
    <t>How constitutions change : a comparative study / edited by Dawn Oliver and Carlo Fusaro.</t>
  </si>
  <si>
    <t>Oxford Portland, Or. : Hart Pub., 2011.</t>
  </si>
  <si>
    <t>342.4. OliD h 2013</t>
  </si>
  <si>
    <t>Human rights and private international law / James J. Fawcett FBA, Máire Ní Shúilleabháin, Sangeeta Shah.</t>
  </si>
  <si>
    <t>Fawcett, James J.</t>
  </si>
  <si>
    <t>341.231.14 FawJ h 2016</t>
  </si>
  <si>
    <t>Il controllo della popolazione nell'Egitto romano / Loisa Casarico.</t>
  </si>
  <si>
    <t>Casarico, Loisa.</t>
  </si>
  <si>
    <t>Azzate : Tipolitografia Tibiletti, 1985-</t>
  </si>
  <si>
    <t>091.2(32) CasL c 1985</t>
  </si>
  <si>
    <t>In art we trust : η ελευθερία της τέχνης στις ΗΠΑ / Δήμητρα Στ. Δαρέλλη πρόλογος Σπύρος Βλαχόπουλος.</t>
  </si>
  <si>
    <t>Δαρέλλη, Δήμητρα Στ.</t>
  </si>
  <si>
    <t>342.727(73) ΔαρΔ i 2016</t>
  </si>
  <si>
    <t>Incapacitation : penal confinement and the restraint of crime / Franklin E. Zimring and Gordon Hawkins.</t>
  </si>
  <si>
    <t>Zimring, Franklin E.</t>
  </si>
  <si>
    <t>New York : Oxford University Press, 1997, c1995.</t>
  </si>
  <si>
    <t>343.261 ZimF i 1995</t>
  </si>
  <si>
    <t>Institutionalizing state responsibility : global security and UN organs / Vincent-Joël Proulx.</t>
  </si>
  <si>
    <t>Proulx, Vincent-Joël.</t>
  </si>
  <si>
    <t>341.236 ProV i 2016</t>
  </si>
  <si>
    <t>International criminal law / Roger O' Keefe.</t>
  </si>
  <si>
    <t>O'Keefe, Roger.</t>
  </si>
  <si>
    <t>341.4 OkeR i 2015</t>
  </si>
  <si>
    <t>International dispute settlement / J.G. Merrills.</t>
  </si>
  <si>
    <t>Merrills, John Graham.</t>
  </si>
  <si>
    <t>6th. ed.</t>
  </si>
  <si>
    <t>341.62 MerJ i 2017</t>
  </si>
  <si>
    <t>International energy governance : selected legal issues / Rafael Leal-Arcas, Andrew Filis, Ehab S. Abu Gosh.</t>
  </si>
  <si>
    <t>Leal-Arcas, Rafael.</t>
  </si>
  <si>
    <t>Cheltenham, UK Northampton, MA, USA : Edward Elgar, 2014.</t>
  </si>
  <si>
    <t>351.824.11 LeaR i 2015</t>
  </si>
  <si>
    <t>International environmental law / Pierre-Marie Dupuy, Jorge E. Viñuales.</t>
  </si>
  <si>
    <t>Dupuy, Pierre-Marie.</t>
  </si>
  <si>
    <t>Cambridge New York, NY : Cambridge University Press, 2018.</t>
  </si>
  <si>
    <t>341:502/504 DupP i 2018</t>
  </si>
  <si>
    <t>International human rights law / edited by Daniel Moeckli, Sangeeta Shah, Sandesh Sivakumaran consultant editor David Harris.</t>
  </si>
  <si>
    <t>Oxford, United Kingdom : Oxford University Press, [2018]</t>
  </si>
  <si>
    <t>341.231.14 MoeD i 2018</t>
  </si>
  <si>
    <t>International judicial integration and fragmentation / Philippa Webb.</t>
  </si>
  <si>
    <t>Webb, Philippa (Philippa Mahal).</t>
  </si>
  <si>
    <t>Oxford, U.K. : Oxford University Press, 2013.</t>
  </si>
  <si>
    <t>341.6 WebP i 2013</t>
  </si>
  <si>
    <t>International law / edited by Malcolm D. Evans.</t>
  </si>
  <si>
    <t>Evans, Malcolm D.</t>
  </si>
  <si>
    <t>5th ed.</t>
  </si>
  <si>
    <t>341.1/.8 EvaM i 2018</t>
  </si>
  <si>
    <t>International law / Jan Klabbers.</t>
  </si>
  <si>
    <t>Klabbers, Jan.</t>
  </si>
  <si>
    <t>2nd edition</t>
  </si>
  <si>
    <t>341.1/.8 KlaJ i 2017</t>
  </si>
  <si>
    <t>International law and domestic legal systems : incorporation, transformation, and persuasion / edited by Dinah Shelton.</t>
  </si>
  <si>
    <t>Oxford New York : Oxford University Press, 2011.</t>
  </si>
  <si>
    <t>340.5 SheD i 2011</t>
  </si>
  <si>
    <t>International law and the use of force :/ Christine Gray.</t>
  </si>
  <si>
    <t>Gray, Christine.</t>
  </si>
  <si>
    <t>4th edition</t>
  </si>
  <si>
    <t>Oxford : Oxford University Press, 2018</t>
  </si>
  <si>
    <t>341.3 GraC i 2018</t>
  </si>
  <si>
    <t>International law and world order : a critique of contemporary approaches / B.S. Chimni.</t>
  </si>
  <si>
    <t>Chimni, B. S.</t>
  </si>
  <si>
    <t>341 ChiB i 2017</t>
  </si>
  <si>
    <t>International law in domestic courts : a casebook / edited by André Nollkaemper, August Reinisch with Ralph Janik, Florentina Simlinger.</t>
  </si>
  <si>
    <t>Oxford, United Kingdom New York, NY : Oxford University Press, 2018.</t>
  </si>
  <si>
    <t>341.29 NolA i 2018</t>
  </si>
  <si>
    <t>Interpretation in international law / edited by Andrea Bianchi, Daniel Peat, Matthew Windsor.</t>
  </si>
  <si>
    <t>341.01 BiaA i 2015</t>
  </si>
  <si>
    <t>Interpreting environmental offences : the need for certainty / Emma Lees.</t>
  </si>
  <si>
    <t>Lees, Emma.</t>
  </si>
  <si>
    <t>Ofxord Portland, Oregon : Hart Publishing, 2017.</t>
  </si>
  <si>
    <t>349.6 LeeE i 2017</t>
  </si>
  <si>
    <t>Justification and excuse in international law : Concept and theory of general defences / Federica Paddeu.</t>
  </si>
  <si>
    <t>Paddeu, Federica.</t>
  </si>
  <si>
    <t>Cambridge : Cambridge University Press, 2018.</t>
  </si>
  <si>
    <t>341.236 PadF j 2018</t>
  </si>
  <si>
    <t>Landmark cases in public international law / edited by Eirik Bjorge and Cameron Miles.</t>
  </si>
  <si>
    <t>Portland, Oregon : Hart Publishing, 2017.</t>
  </si>
  <si>
    <t>341.29 BjoE l 2017</t>
  </si>
  <si>
    <t>Law and anthropology / edited by Martha Mundy.</t>
  </si>
  <si>
    <t>Aldershot, Hants, England : London : Ashgate : Routledge, 2002.</t>
  </si>
  <si>
    <t>34:39 MunM l 2002</t>
  </si>
  <si>
    <t>Law and anthropology : a reader / edited by Sally Falk Moore.</t>
  </si>
  <si>
    <t>Malden, Mass. : Blackwell, 2011.</t>
  </si>
  <si>
    <t>34:39 MooS l 2011</t>
  </si>
  <si>
    <t>Law and justice in Japanese popular culture : from crime fighting robots to duelling pocket monsters / edited by Ashley Pearson, Thomas Giddens and Kieran Tranter.</t>
  </si>
  <si>
    <t>Abingdon New York, NY : Routledge, Taylor &amp; Francis Group, 2018.</t>
  </si>
  <si>
    <t>7:34(52) PeaA l 2018</t>
  </si>
  <si>
    <t>Law and religious cultural heritage in Europe / [edited by] Theodosios Tsivolas foreword by professor Norman Doe.</t>
  </si>
  <si>
    <t>Τσιβόλας, Θεοδόσιος Χ.</t>
  </si>
  <si>
    <t>New York : Springer, 2014.</t>
  </si>
  <si>
    <t>351.85(4) ΤσιΘ l 2014</t>
  </si>
  <si>
    <t>Law in the time of oxymora : a synaesthesia of language, logic and law / Rostam J. Neuwirth.</t>
  </si>
  <si>
    <t>Neuwirth, Rostam J.</t>
  </si>
  <si>
    <t>Abingdon, Oxon New York : Routledge, 2018</t>
  </si>
  <si>
    <t>340.113 NeuR l 2018</t>
  </si>
  <si>
    <t>Law, Cinema, and the ill city : imagining justice and order in real and fictional cities / edited by Anne Wagner and Le Cheng.</t>
  </si>
  <si>
    <t>London New York : Routledge, 2019.</t>
  </si>
  <si>
    <t>791.233:34 WagA l 2019</t>
  </si>
  <si>
    <t>Laws and societies in global contexts : contemporary approaches / Eve Darian-Smith.</t>
  </si>
  <si>
    <t>Darian-Smith, Eve, 1963-</t>
  </si>
  <si>
    <t>Cambridge New York : Cambridge University Press, 2013.</t>
  </si>
  <si>
    <t>316.334.4 DarE l 2013</t>
  </si>
  <si>
    <t>Αίθουσα Ισττορίας, Θεωρίας και Φιλοσοφίας του Δικαίου</t>
  </si>
  <si>
    <t>Le regard eloigne. Ελληνικά;"Εξ αποστάσεως / Claude Levi-Strauss μετάφραση-επιμέλεια Θεόδωρος Παραδέλλης."</t>
  </si>
  <si>
    <t>Lévi-Strauss, Claude</t>
  </si>
  <si>
    <t>[Αθήνα] : Αρσενίδης, 2003</t>
  </si>
  <si>
    <t>39 LevC r/ε 2003</t>
  </si>
  <si>
    <t>Le role dʹ éros et dʹ Aphrodite dans les cosmogonies grecques / par Jean Rudhardt préface de Jean-Pierre Vernant.</t>
  </si>
  <si>
    <t>Rudhardt, Jean</t>
  </si>
  <si>
    <t>255.2 RudJ r 1986</t>
  </si>
  <si>
    <t>Legal consequences of peremptory norms in international law / Daniel Costelloe.</t>
  </si>
  <si>
    <t>Costelloe, Daniel.</t>
  </si>
  <si>
    <t>341.1/.8 CosD l 2017</t>
  </si>
  <si>
    <t>Legal orientalism : China, the United States and modern law / Teemu Ruskola.</t>
  </si>
  <si>
    <t>Ruskola, Teemu.</t>
  </si>
  <si>
    <t>Cambridge : Harvard University Press, 2013.</t>
  </si>
  <si>
    <t>340.12 RusT l 2013</t>
  </si>
  <si>
    <t>Les codes Larcier.</t>
  </si>
  <si>
    <t>Bruxelles : Larcier, 2018-</t>
  </si>
  <si>
    <t>349.6(493)(094.5) CLA 2018 7</t>
  </si>
  <si>
    <t>Making and bending international rules : the design of exceptions and escape clauses in trade law / Krzysztof J. Pelc.</t>
  </si>
  <si>
    <t>Pelc, Krzysztof J.</t>
  </si>
  <si>
    <t>New York : Cambridge University Press, 2016.</t>
  </si>
  <si>
    <t>346 PelK m 2016</t>
  </si>
  <si>
    <t>Medical enterprise liability : rechtsvergleichende Untersuchung zum deutschen und U.S.-amerikanischen Recht / Matthias Löhle.</t>
  </si>
  <si>
    <t>Löhle, Matthias.</t>
  </si>
  <si>
    <t>Frankfurt am Main : PL Academic Research, 2014.</t>
  </si>
  <si>
    <t>347.56:614.25 LohM m 2014</t>
  </si>
  <si>
    <t>Medical law : text, cases, and materials / Emily Jackson.</t>
  </si>
  <si>
    <t>Jackson, Emily, 1966-</t>
  </si>
  <si>
    <t>347.56:614.25(410) JacE m 2016</t>
  </si>
  <si>
    <t>Medical law and ethics / Jonathan Herring.</t>
  </si>
  <si>
    <t>Herring, Jonathan.</t>
  </si>
  <si>
    <t>7th ed.</t>
  </si>
  <si>
    <t>347.56:614.25(410) HerJ m 2018</t>
  </si>
  <si>
    <t>Midatiyut ba-mishpaṭ. English.;"Proportionality : constitutional rights and their limitations / Aharon Barak ; translated from the Hebrew by Doron Kalir."</t>
  </si>
  <si>
    <t>Barak, Aharon.</t>
  </si>
  <si>
    <t>Cambridge, U.K. New York : Cambridge University Press, 2012</t>
  </si>
  <si>
    <t>342 BarA m/p 2012</t>
  </si>
  <si>
    <t>Mixed legal systems, east and west / edited by Vernon Valentine Palmer, Mohamed Y. Mattar and Anna Koppel.</t>
  </si>
  <si>
    <t>Farnham, Surrey, England Burlington, VT, USA : Ashgate, 2015</t>
  </si>
  <si>
    <t>340.5 PalV m 2015</t>
  </si>
  <si>
    <t>Necessity in international law / Jens David Ohlin and Larry May.</t>
  </si>
  <si>
    <t>Ohlin, Jens David.</t>
  </si>
  <si>
    <t>New York : Oxford University Press, 2016.</t>
  </si>
  <si>
    <t>341.31 OhlJ n 2016</t>
  </si>
  <si>
    <t>Non-discrimination and the role of regulatory purpose in international trade and investment law / Andrew D. Mitchell, David Heaton, Caroline Henckels.</t>
  </si>
  <si>
    <t>Mitchell, Andrew D., 1974-</t>
  </si>
  <si>
    <t>Cheltenham, UK : Edward Elgar Publishing, [2016]</t>
  </si>
  <si>
    <t>346 MitA n 2016</t>
  </si>
  <si>
    <t>Normative pluralism and human rights : social normativities in conflict / etided by Kyriaki Topidi.</t>
  </si>
  <si>
    <t>Abingdon, Oxon New York : Routledge, 2018.</t>
  </si>
  <si>
    <t>341.231.14 TopK n 2018</t>
  </si>
  <si>
    <t>Oxford principles of European Union law / editors, Robert Schütze, Takis Tridimas.</t>
  </si>
  <si>
    <t>Oxford, UK : Oxford University Press, 2018-</t>
  </si>
  <si>
    <t>34(4-672EU) SchR o 2018 1</t>
  </si>
  <si>
    <t>Participatory rights in the environmental decision-making process and the implementation of the Aarhus Convention : a comparative perspective / edited by Eva Julia Lohse and Margherita Poto in cooperation with Giulia Parola.</t>
  </si>
  <si>
    <t>Berlin : Duncker &amp; Humblot, [2015];"©2015"</t>
  </si>
  <si>
    <t>349.6 LohE p 2015</t>
  </si>
  <si>
    <t>Penal exceptionalism? Nordic prison policy and practice / edited by Thomas Ugelvik and Jane Dullum.</t>
  </si>
  <si>
    <t>London New York : Routledge, 2012.</t>
  </si>
  <si>
    <t>343.811 UgeT p 2012</t>
  </si>
  <si>
    <t>Pensée marxiste et la ville. English;"Marxist thought and the city / Henri Lefebvre translated by Robert Bononno foreword by Stuart Elden."</t>
  </si>
  <si>
    <t>Lefebvre, Henri, 1901-1991.</t>
  </si>
  <si>
    <t>Minneapolis : University of Minnesota Press, [2016]</t>
  </si>
  <si>
    <t>316.26 LefH m 2016</t>
  </si>
  <si>
    <t>Philosophical foundations of constitutional law / edited by David Dyzenhaus and Malcolm Thorburn.</t>
  </si>
  <si>
    <t>343.4.01 DyzD p 2016</t>
  </si>
  <si>
    <t>Power and its disguises. Ελληνικά;"Οι μεταμφιέσεις της εξουσίας : ανθρωπολογικές οπτικές για την πολιτική / John Gledhill ; εισαγωγή Ράνια Αστρινάκη ; μετάφραση Πελαγία Μαρκέτου."</t>
  </si>
  <si>
    <t>Gledhill, John.</t>
  </si>
  <si>
    <t>1η έκδ.</t>
  </si>
  <si>
    <t>[Αθήνα] : Αλεξάνδρεια, 2013.</t>
  </si>
  <si>
    <t>316.334.3 GleJ μ 2013</t>
  </si>
  <si>
    <t>Principles and practice in EU sports law / Stephen Weatherill, Jacques Delors.</t>
  </si>
  <si>
    <t>Weatherill, Stephen.</t>
  </si>
  <si>
    <t>Oxford : Oxford University Press, 2017.</t>
  </si>
  <si>
    <t>34:796(4-672EU) WeaS p 2017</t>
  </si>
  <si>
    <t>Principles of international environmental law / Philippe Sands, Jacqueline Peel with Adriana Fabra, Ruth MacKenzie.</t>
  </si>
  <si>
    <t>Sands, Philippe, 1960-.</t>
  </si>
  <si>
    <t>Cambridge, United Kingdom New York, NY, USA : Cambridge University Press, 2018.</t>
  </si>
  <si>
    <t>341:502/504 SanP p 2018</t>
  </si>
  <si>
    <t>Principles of medical law / edited by Judith M. Laing, Jean V. McHale consultant editors Ian Kennedy, Andrew Grubb.</t>
  </si>
  <si>
    <t>347.56:614.25(410) LaiJ p 2017</t>
  </si>
  <si>
    <t>Prisoners' Rights : princiles and practice / Susan Easton.</t>
  </si>
  <si>
    <t>Easton, Susan.</t>
  </si>
  <si>
    <t>London New York : Routledge, 2011.</t>
  </si>
  <si>
    <t>343.811 EasS p 2011</t>
  </si>
  <si>
    <t>929(32) PerW p 1977 3</t>
  </si>
  <si>
    <t>Provisional measures before international courts and tribunals / Cameron Miles.</t>
  </si>
  <si>
    <t>Miles, Cameron A., 1984-</t>
  </si>
  <si>
    <t>Cambridge New York : Cambridge University Press, 2017.</t>
  </si>
  <si>
    <t>341.98 MilC p 2017</t>
  </si>
  <si>
    <t>Public access to documents in the EU / Leonor Rossi and Patricia Vinagre e Silva.</t>
  </si>
  <si>
    <t>Rossi, Leonor.</t>
  </si>
  <si>
    <t>35.077.7(4-672EU) RosL p 2017</t>
  </si>
  <si>
    <t>Public law / John Stanton and Graig Prescott with concultant editor professor David Mead.</t>
  </si>
  <si>
    <t>Stanton, John.</t>
  </si>
  <si>
    <t>Oxford New York : Oxford University Press, 2018.</t>
  </si>
  <si>
    <t>342(410) StaJ p 2018</t>
  </si>
  <si>
    <t>Reassertion of control over the investment treaty regime / edited by Andreas Kulick.</t>
  </si>
  <si>
    <t>346.54 KulA r 2017</t>
  </si>
  <si>
    <t>Rechtsstaatliches Strafrecht : Festschrift für Ulfrid Neumann zum 70. Geburtstag / herausgegeben von Frank Saliger in Verbindung mit Osman Isfen ... [et al.].</t>
  </si>
  <si>
    <t>Heidelberg : C.F. Müller GmbH, [2017]</t>
  </si>
  <si>
    <t>34(082.2) NeuU r 2017</t>
  </si>
  <si>
    <t>Αίθουσα τιμητικών τόμων, 1ος όροφος</t>
  </si>
  <si>
    <t>Reciprocity in international law : Its impact and function / Shahrad Nasrolahi Fard.</t>
  </si>
  <si>
    <t>Nasrolahi Fard, Shahrad.</t>
  </si>
  <si>
    <t>Oxford : Routledge, 2016.</t>
  </si>
  <si>
    <t>341.1/.8 NasF r 2016</t>
  </si>
  <si>
    <t>Reclaiming development in the world trading system / Yong-Shik Lee.</t>
  </si>
  <si>
    <t>Lee, Yong-Shik.</t>
  </si>
  <si>
    <t>Cambridge New York : Cambridge University Press, 2016.</t>
  </si>
  <si>
    <t>346(1-773) LeeY r 2016</t>
  </si>
  <si>
    <t>Reconstructing restorative justice philosophy / edited by Theo Gavrielides and Vasso Artinopoulou.</t>
  </si>
  <si>
    <t>London New York : Routledge, 2016.</t>
  </si>
  <si>
    <t>343.988 GavT r 2016</t>
  </si>
  <si>
    <t>Regarder ecouter lire Ελληνικά;"Κοιτάζω ακούω διαβάζω / Claude Levi-Strauss ; μετάφραση Ευγενία Τσελέντη."</t>
  </si>
  <si>
    <t>Lévi-Strauss, Claude.</t>
  </si>
  <si>
    <t>Αθήνα : Γκοβόστης, [1992].</t>
  </si>
  <si>
    <t>7.01 LevC κ/r 1992</t>
  </si>
  <si>
    <t>Reinforcing rule of law oversight in the European Union / edited by Carlos Closa, Dimitry Kochenov.</t>
  </si>
  <si>
    <t>Cambridge : Cambridge University Press, 2016.</t>
  </si>
  <si>
    <t>34(4-672EU) CloC r 2016</t>
  </si>
  <si>
    <t>Αίθουσα Διεθνούς Δικαίου και Ευρωπαϊκου Δικαίου</t>
  </si>
  <si>
    <t>Reinvention of primitive society , Ελληνικά.;"Η επανάκαμψη της πρωτόγονης κοινωνίας : μεταμορφώσεις ενός μύθου / Adam Kuper ; μετάφραση Φώτης Τερζάκης</t>
  </si>
  <si>
    <t>Βενετία Καντσά ; εισαγωγή</t>
  </si>
  <si>
    <t>Αθήνα : Εκδόσεις Αλεξάνδρεια, 2007.</t>
  </si>
  <si>
    <t>39:316.323.2 KupA ε/r 2007</t>
  </si>
  <si>
    <t>Religious hatred and international law : the prohibition of incitement to violence or discrimination / by Jeroen Temperman.</t>
  </si>
  <si>
    <t>Temperman, Jeroen.</t>
  </si>
  <si>
    <t>341.231.14 TemJ r 2016</t>
  </si>
  <si>
    <t>Remedies in international human rights law / Dinah Shelton.</t>
  </si>
  <si>
    <t>Shelton, Dinah.</t>
  </si>
  <si>
    <t>Third edition.</t>
  </si>
  <si>
    <t>Oxford, United KIngdom : Oxford University Press, 2015.</t>
  </si>
  <si>
    <t>341.231.14 SheD r 2015</t>
  </si>
  <si>
    <t>Research handbook on biodiversity and law / edited by Michael Bowman ... [et al.].</t>
  </si>
  <si>
    <t>Cheltenham, UK Nortthampton, USA : Edward Elgar Publishing, c2016.</t>
  </si>
  <si>
    <t>341:502/504 BowM r 2016</t>
  </si>
  <si>
    <t>Research handbook on fundamental concepts of environmental law / edited by Douglas Fisher.</t>
  </si>
  <si>
    <t>341:502/504 FisD r 2016</t>
  </si>
  <si>
    <t>Research handbook on international law and natural resources / edited by Elisa Morgera, Kati Kulovesi.</t>
  </si>
  <si>
    <t>Chelteham : Edward Elgar Publishing , c2016.</t>
  </si>
  <si>
    <t>341:502/504 MorE r 2016</t>
  </si>
  <si>
    <t>Research handbook on jurisdiction and immunities in international law / edited by Alexander Orakhelashvili.</t>
  </si>
  <si>
    <t>Cheltenham, UK : Edward Elgar Publishing, 2015.</t>
  </si>
  <si>
    <t>341.6 OraA r 2015</t>
  </si>
  <si>
    <t>Research handbook on legal pluralism and EU law / edited by Gareth Davies, Matej Avbelj.</t>
  </si>
  <si>
    <t>Cheltenham : Edward Elgar, 2018.</t>
  </si>
  <si>
    <t>34(4-672EU) DavG r 2018</t>
  </si>
  <si>
    <t>Research handbook on territorial disputes in international law / edited by Marcelo G. Kohen, Mamadou Hébié.</t>
  </si>
  <si>
    <t>341.218 KohM r 2018</t>
  </si>
  <si>
    <t>Resisting punitiveness in Europe : welfare, human rights, and democracy / edited by Sonja Snacken and Els Dumortier.</t>
  </si>
  <si>
    <t>Abingdon, Oxon New York : Routledge, 2012.</t>
  </si>
  <si>
    <t>343.8 SnaS r 2012</t>
  </si>
  <si>
    <t>Resocialising Europe in a time of crisis / Alain Supiot ... [et al.] ed. by Nicola Countouris Mark Freedland.</t>
  </si>
  <si>
    <t>Supiot, Alain.</t>
  </si>
  <si>
    <t>Cambridge : Cambridge University, c2013.</t>
  </si>
  <si>
    <t>349.2(4) ΚουΝ r 2013</t>
  </si>
  <si>
    <t>Risk society : towards a new modernity / Ulrich Beck ; translated by Mark Ritter.</t>
  </si>
  <si>
    <t>Beck, Ulrich, 1944-2015.</t>
  </si>
  <si>
    <t>London : Sage, 2005.</t>
  </si>
  <si>
    <t>343.97 BecU r/r 1992</t>
  </si>
  <si>
    <t>Schutzziel Biodiversität : flächenbezogener Schutz der Biodiversität nach dem Leitbild der differenzierten Umweltnutzung und unter besonderer Berücksichtigung des Planungsrechts / von Ingmar Piroch.</t>
  </si>
  <si>
    <t>Piroch, Ingmar.</t>
  </si>
  <si>
    <t>Berlin : Duncker &amp; Humblot, 2017.</t>
  </si>
  <si>
    <t>349.6 PirI s 2017</t>
  </si>
  <si>
    <t>Sentencing and criminal justice / Andrew Ashworth.</t>
  </si>
  <si>
    <t>Ashworth, Andrew.</t>
  </si>
  <si>
    <t>Cambridge, UK : Cambridge University Press, [2015], 2016 [ανατύπωση]</t>
  </si>
  <si>
    <t>343.241 AshA s 2015</t>
  </si>
  <si>
    <t>Sentencing and punishment : the quest for justice / Susan Easton and Christine Piper.</t>
  </si>
  <si>
    <t>343.241 EasS s 2016</t>
  </si>
  <si>
    <t>Société contre l'État Ελληνικά;"Η κοινωνία ενάντια στο κράτος / Pierre Clasters επίμετρο Claude Lefort μετάφραση Κική Καψαμπέλη."</t>
  </si>
  <si>
    <t>Clastres, Pierre, 1934-1977.</t>
  </si>
  <si>
    <t>Αθήνα : Αλεξάνδρεια, 1992.</t>
  </si>
  <si>
    <t>39(=87) ClaP s/κ 1992</t>
  </si>
  <si>
    <t>Space, time, justice: from archaic rituals to contemporary perspectives / David Marrani.</t>
  </si>
  <si>
    <t>Marrani, David.</t>
  </si>
  <si>
    <t>Abingdon, Oxon New York, NY : Routledge, 2018.</t>
  </si>
  <si>
    <t>340.114 MarD s 2018</t>
  </si>
  <si>
    <t>State responsibility : the general part / James Crawford.</t>
  </si>
  <si>
    <t>Crawford, James 1948-</t>
  </si>
  <si>
    <t>New York : Cambridge University Press, 2014.</t>
  </si>
  <si>
    <t>341.236 CraJ s 2013</t>
  </si>
  <si>
    <t>Aίθουσα Διεθνούς Δικαίου και Εμπορικού Δικαίου</t>
  </si>
  <si>
    <t>Stateless law : evolving boundaries of a discipline / edited by Helge Dedek, Shauna Van Praagh.</t>
  </si>
  <si>
    <t>London New York : Routledge, [2017]</t>
  </si>
  <si>
    <t>340.14 DedH s 2017</t>
  </si>
  <si>
    <t>Steiner &amp; Woods EU Law / Lorna Woods, Phillipa Watson, Mario Costa.</t>
  </si>
  <si>
    <t>Woods, Lorna.</t>
  </si>
  <si>
    <t>13th ed.</t>
  </si>
  <si>
    <t>34(4-672EU) WooL s 2017</t>
  </si>
  <si>
    <t>Strafgesetzbuch : Kommentar / herausgegeben von Helmut Satzger, Wilhelm Schluckebier bearbeitet von Nikolaus Bosch ... [et al.].</t>
  </si>
  <si>
    <t>3. Aufl.</t>
  </si>
  <si>
    <t>Köln : Carl Heymanns Verlag, 2016.</t>
  </si>
  <si>
    <t>343(430) ΚΩΔ SatH s 2016</t>
  </si>
  <si>
    <t>Strafrecht , Besonderer Teil / Urs Kindhäuser.</t>
  </si>
  <si>
    <t>Kindhäuser, Urs, 1949-</t>
  </si>
  <si>
    <t>5. Aufl.</t>
  </si>
  <si>
    <t>Baden-Baden : Nomos, 2012-</t>
  </si>
  <si>
    <t>343(430) KinU s 2012 1</t>
  </si>
  <si>
    <t>Strafrecht : Allgemeiner Teil: ein Studienbuch / von Helmut Frister.</t>
  </si>
  <si>
    <t>Frister, Helmut.</t>
  </si>
  <si>
    <t>München : C. H. Beck, 2013</t>
  </si>
  <si>
    <t>343.2(430) FriH s 2013</t>
  </si>
  <si>
    <t>Strafrecht, allgemeiner Teil / Urs Kindhäuser.</t>
  </si>
  <si>
    <t>Baden-Baden : Nomos, 2011.</t>
  </si>
  <si>
    <t>343(430) KinU s 2011</t>
  </si>
  <si>
    <t>Strafrecht, allgemeiner Teil : die Straftat und ihr Aufbau / begr. von Johannes Wessels, fortgef. von Werner Beulke und Helmut Satzger.</t>
  </si>
  <si>
    <t>Wessels, Johannes, 1923-</t>
  </si>
  <si>
    <t>45., neu überarb. Aufl.</t>
  </si>
  <si>
    <t>Heidelberg : C. F. Müller, c2015.</t>
  </si>
  <si>
    <t>343(430) WesJ s 2015</t>
  </si>
  <si>
    <t>Strafrecht, besonderer Teil / begr. von Johannes Wessels fortgef. von Michael Hettinger.</t>
  </si>
  <si>
    <t>37., neu bearb. Aufl.</t>
  </si>
  <si>
    <t>Heidelberg : C. F. Müller, -2014.</t>
  </si>
  <si>
    <t>Strafrecht, besonderer Teil / Urs Kindhäuser.</t>
  </si>
  <si>
    <t>7. Aufl.</t>
  </si>
  <si>
    <t>Baden-Baden : Nomos, -2013.</t>
  </si>
  <si>
    <t>343(430) KinU s 2013 2</t>
  </si>
  <si>
    <t>Strafrecht, besonderer Teil / von Eisele Jörg.</t>
  </si>
  <si>
    <t>Eisele, Jörg, 1969-</t>
  </si>
  <si>
    <t>3., überarb. Aufl.</t>
  </si>
  <si>
    <t>Stuttgart : W. Kohlhammer, -2015.</t>
  </si>
  <si>
    <t>343(430) EisJ s 2015 2</t>
  </si>
  <si>
    <t>Strafrecht, besonderer Teil / von Jörg Eisele.</t>
  </si>
  <si>
    <t>2., überarb. Aufl.</t>
  </si>
  <si>
    <t>Stuttgart : W. Kohlhammer , 2012-</t>
  </si>
  <si>
    <t>343(430) EisJ s 2012 1</t>
  </si>
  <si>
    <t>Strafrecht, besonderer Teil / von Rudolf Rengier.</t>
  </si>
  <si>
    <t>Rengier, Rudolf.</t>
  </si>
  <si>
    <t>18., neu bearbeitete Aufl.</t>
  </si>
  <si>
    <t>München : C.H. Beck, 2016-2017.</t>
  </si>
  <si>
    <t>343(430) RenR s 2016 1</t>
  </si>
  <si>
    <t>17., neu bearb. Aufl.</t>
  </si>
  <si>
    <t>München : C.H. Beck, -2016.</t>
  </si>
  <si>
    <t>343(430) RenR s 2016 2</t>
  </si>
  <si>
    <t>Αίθουσα ποινικού Δικαίου και Εργατικού Δικαίου</t>
  </si>
  <si>
    <t>Strafrecht, besonderer Teil : Definitionen mit Erläuterungen / begründet von Wilfried Küper, fortgeführt von Jan Zopfs.</t>
  </si>
  <si>
    <t>Küper, Wilfried, 1937-</t>
  </si>
  <si>
    <t>9., völlig neu bearb. Aufl.</t>
  </si>
  <si>
    <t>Müller : Heidelberg, c2015.</t>
  </si>
  <si>
    <t>343.3/.7(430) KupW s 2015</t>
  </si>
  <si>
    <t>Strafrechtliche Beiträge zu Rechtsgeschichte und Rechtsphilosophie / Wilfried Küper herausgegeben von Michael Hettinger und Jan Zopfs.</t>
  </si>
  <si>
    <t>Tübingen : Mohr Siebeck, [2017]</t>
  </si>
  <si>
    <t>343(091) KupW s 2017</t>
  </si>
  <si>
    <t>Strafrechtswissenschaftliche Beiträge : zu den Grundlagen des Strafrechts und zur Zurechnungslehre / Günther Jakobs Hrsg. von Michael Pawlik.</t>
  </si>
  <si>
    <t>Jakobs, Günther.</t>
  </si>
  <si>
    <t>Tübingen : Mohr Siebeck, 2017.</t>
  </si>
  <si>
    <t>343.2.01 JakG s 2017</t>
  </si>
  <si>
    <t>Αίθουσα Ποινικού Δίκαιου και Εργατικού Δικαίου</t>
  </si>
  <si>
    <t>Strategically created treaty conflicts and the politics of international law / Surabhi Ranganathan.</t>
  </si>
  <si>
    <t>Ranganathan, Surabhi.</t>
  </si>
  <si>
    <t>Cambridge, UK : Cambridge University Press, 2014.</t>
  </si>
  <si>
    <t>341.24 RanS s 2014</t>
  </si>
  <si>
    <t>The 1951 convention relating to the status of refugees and its 1967 protocol : a commentary / edited by Andreas Zimmermann assistant editors Jonas Dörschner, Felix Machts.</t>
  </si>
  <si>
    <t>341.215.4-054.7 ZimA n 2011</t>
  </si>
  <si>
    <t>The African Charter on Human and People's Rights : a commentary / Rachel Murray.</t>
  </si>
  <si>
    <t>Murray, Rachel.</t>
  </si>
  <si>
    <t>341.231.14(6) MurR a 2019</t>
  </si>
  <si>
    <t>The appeals chamber of the International Criminal Court : commentary and digest of jurisprudence / Fabricio Guariglia ... [et al.].</t>
  </si>
  <si>
    <t>Guariglia, Fabricio</t>
  </si>
  <si>
    <t>341.645 GuaF a 2018</t>
  </si>
  <si>
    <t>The continental shelf beyond 200 nautical miles : rights and responsibilities / Joanna Mossop.</t>
  </si>
  <si>
    <t>Mossop, Joanna.</t>
  </si>
  <si>
    <t>341.221.28 MosJ c 2016</t>
  </si>
  <si>
    <t>The crime of aggression : a commentary / Claus Kress and Stefan Barriga, editors.</t>
  </si>
  <si>
    <t>341.31 KreC c 2017 1+2</t>
  </si>
  <si>
    <t>The diffusion of law : the movement of laws and norms around the world / by Sue Farran ... [et al.].</t>
  </si>
  <si>
    <t>London New York : Routledge, 2015.</t>
  </si>
  <si>
    <t>340.5 FarS d 2016</t>
  </si>
  <si>
    <t>The Dynamic Free Speech Clause : Free Speech and its Relation to Other Constitutional Rights / Timothy Zick.</t>
  </si>
  <si>
    <t>Zick, Timothy.</t>
  </si>
  <si>
    <t>342.727(73) ZicT d 2018</t>
  </si>
  <si>
    <t>The EU law of competition / edited by Jonathan Faull, Ali Nikpay, Partner assistant editor, Deirdre Taylor.</t>
  </si>
  <si>
    <t>Oxford, UK : Oxford University Press, 2014.</t>
  </si>
  <si>
    <t>347.776(4-672EU) FauJ e 2014</t>
  </si>
  <si>
    <t>The EU treaties and the Charter of Fundamental Rights : a commentary / edited by Manuel Kellerbauer, Marcus Klamert and Jonathan Tomkin.</t>
  </si>
  <si>
    <t>Oxford : Oxford University Press, 2019.</t>
  </si>
  <si>
    <t>34(4-672EU) KelM e 2019</t>
  </si>
  <si>
    <t>The european convention on human rights : a commentary / by William A. Schabas.</t>
  </si>
  <si>
    <t>Schabas, William, 1950-</t>
  </si>
  <si>
    <t>341.231.4(4) SchW e 2015</t>
  </si>
  <si>
    <t>The financial obligation in international law / Rutsel Silvestre J. Martha.</t>
  </si>
  <si>
    <t>Martha, Rutsel Silvestre J.</t>
  </si>
  <si>
    <t>Oxford, UK : Oxford University Press, 2015.</t>
  </si>
  <si>
    <t>346 MarR f 2015</t>
  </si>
  <si>
    <t>The first bilateral investment treaties : U.S. postwar friendship, commerce and navigation treaties / Kenneth J. Vandevelde.</t>
  </si>
  <si>
    <t>Vandevelde, Kenneth J.</t>
  </si>
  <si>
    <t>New York : Oxford University Press, c2017.</t>
  </si>
  <si>
    <t>346.58(73) VanK f 2017</t>
  </si>
  <si>
    <t>The foundations of European Union law : an introduction to the constitutional and administrative law of the European Union / by T.C. Hartley.</t>
  </si>
  <si>
    <t>Hartley, Trevor C.</t>
  </si>
  <si>
    <t>8th ed.</t>
  </si>
  <si>
    <t>Oxford ; New York : Oxford University Press, 2014.</t>
  </si>
  <si>
    <t>34(4-672EU) HarT f 2014</t>
  </si>
  <si>
    <t>The general principles of EU law / Takis Tridimas.</t>
  </si>
  <si>
    <t>Tridimas,Takis.</t>
  </si>
  <si>
    <t>Oxford : Oxford University Press, 2006.</t>
  </si>
  <si>
    <t>34(4-672EU) ΤριΤ g 2006</t>
  </si>
  <si>
    <t>The history of ICSID / Antonio R. Parra.</t>
  </si>
  <si>
    <t>Parra, Antonio R.</t>
  </si>
  <si>
    <t>Oxford : Oxford University Press, c2012.</t>
  </si>
  <si>
    <t>346(06) ICSID ParA h 2017</t>
  </si>
  <si>
    <t>The image of law : Deleuze, Bergson, Spinoza / Alexandre Lefebvre.</t>
  </si>
  <si>
    <t>Lefebvre, Alexandre.</t>
  </si>
  <si>
    <t>Stanford : Standford University Pres, 2008.</t>
  </si>
  <si>
    <t>340.12 LefA i 2008</t>
  </si>
  <si>
    <t>The Institute of International Law's resolution on state succession and state responsibility : introduction, text, and commentaries / Marcelo G. Kohen, Patrick Dumberry.</t>
  </si>
  <si>
    <t>Kohen, Marcelo G.</t>
  </si>
  <si>
    <t>341.218.3 KohM i 2018</t>
  </si>
  <si>
    <t>The International Convention on the Elimination of All Forms of Racial Discrimination : a commentary / Patrick Thornberry.</t>
  </si>
  <si>
    <t>Thornberry, Patrick.</t>
  </si>
  <si>
    <t>341.231.14 ThoP i 2016</t>
  </si>
  <si>
    <t>The International Law Commissionʹs articles on state responsibility : introduction, text and commentaries / James Crawford.</t>
  </si>
  <si>
    <t>Cambridge : Cambridge University Press, 2002.</t>
  </si>
  <si>
    <t>341.236 CraJ i 2002</t>
  </si>
  <si>
    <t>3η ανατύπωση 2005;"Αίθουσα Διεθνούς Δικαίου και Εμπορικού Δικαίου"</t>
  </si>
  <si>
    <t>The international law of state responsibility an introduction / Robert Kolb.</t>
  </si>
  <si>
    <t>Kolb, Robert.</t>
  </si>
  <si>
    <t>Cheltenham, UK [etc.] : Edward Elgar, 2018.</t>
  </si>
  <si>
    <t>341.236 KolR i 2018</t>
  </si>
  <si>
    <t>The interpretation of international law by domestic courts : uniformity, diversity, convergence / edited by Helmut Philipp Aust and Georg Nolte.</t>
  </si>
  <si>
    <t>341.942 AusH i 2016</t>
  </si>
  <si>
    <t>The law and policy of the World Trade Organization : text, cases and materials / Peter Van den Bossche, Werner Zdouc .</t>
  </si>
  <si>
    <t>Bossche, Peter van den.</t>
  </si>
  <si>
    <t>Cambridge, United Kingdom New York, NY : Cambridge University Press, 2017.</t>
  </si>
  <si>
    <t>346(06) ΠΟΕ BosP l 2017</t>
  </si>
  <si>
    <t>The law of EU external relations : cases, materials, and commentary on the EU as an international legal actor / Pieter Jan Kuijper ... [et al.].</t>
  </si>
  <si>
    <t>Kuijper, Pieter Jan.</t>
  </si>
  <si>
    <t>341.238(4-672EU) KuiP l 2015</t>
  </si>
  <si>
    <t>The law of investment treaties / Jeswald W. Salacuse.</t>
  </si>
  <si>
    <t>Salacuse, Jeswald W.,</t>
  </si>
  <si>
    <t>346.54 SalJ l 2015</t>
  </si>
  <si>
    <t>The law of state immunity / Hazel Fox, Philippa Webb.</t>
  </si>
  <si>
    <t>Fox, Hazel.</t>
  </si>
  <si>
    <t>Rev. and updated 3rd ed.</t>
  </si>
  <si>
    <t>341.211 HazF l 2013</t>
  </si>
  <si>
    <t>The new entrants problem in international fisheries law / Andrew Serdy.</t>
  </si>
  <si>
    <t>Serdy, Andrew.</t>
  </si>
  <si>
    <t>341.225.8 SerA n 2016</t>
  </si>
  <si>
    <t>The obligation to extradite or prosecute / Kriangsak Kittichaisaree.</t>
  </si>
  <si>
    <t>Kittichaisaree, Kriangsak, 1958-</t>
  </si>
  <si>
    <t>341.44 KitK o 2018</t>
  </si>
  <si>
    <t>The Oxford guide to treaties / edited by Duncan B. Hollis.</t>
  </si>
  <si>
    <t>Oxford, U.K. : Oxford University Press, 2012.</t>
  </si>
  <si>
    <t>341.24 HolD o 2012</t>
  </si>
  <si>
    <t>The Oxford handbook of Adam Smith / edited by Christopher J. Berry, Maria Pia Paganelli, Craig Smith.</t>
  </si>
  <si>
    <t>330.821.1 BerC o 2013</t>
  </si>
  <si>
    <t>The Oxford handbook of Aristotle / edited by Christopher Shields.</t>
  </si>
  <si>
    <t>Oxford New York : Oxford University Press, c2012.</t>
  </si>
  <si>
    <t>1(38) Αριστ ShieC o 2012</t>
  </si>
  <si>
    <t>The Oxford handbook of criminogical theory / edited by Francis T. Cullen and Pamela Wilcox.</t>
  </si>
  <si>
    <t>New York : Oxford University Press, 2013.</t>
  </si>
  <si>
    <t>343.9 CulF o 2013</t>
  </si>
  <si>
    <t>The Oxford handbook of criminology / edited by Alison Liebling, Shadd Maruna, Lesley McAra.</t>
  </si>
  <si>
    <t>Oxford, UK : Oxford University Press, [2017]</t>
  </si>
  <si>
    <t>343.9 LieA o 2017</t>
  </si>
  <si>
    <t>The oxford handbook of freedom / edited by David Schmidtz and Carmen E. Pavel.</t>
  </si>
  <si>
    <t>123.1 SchD o 2018</t>
  </si>
  <si>
    <t>The Oxford handbook of Hobbes / edited by A.P. Martinich and Kinch Hoekstra.</t>
  </si>
  <si>
    <t>1(410) HOB MarA o 2016</t>
  </si>
  <si>
    <t>The Oxford handbook of Hume / edited by Paul Russell.</t>
  </si>
  <si>
    <t>New York : Oxford University Press, c2016.</t>
  </si>
  <si>
    <t>1(410) HumD RusP o 2016</t>
  </si>
  <si>
    <t>The Oxford handbook of international organizations / edited by Jacob Katz Cogan, Ian Hurd, Ian Johnstone.</t>
  </si>
  <si>
    <t>Oxford, UK : Oxford University Press, 2016.</t>
  </si>
  <si>
    <t>341.1 CogJ o 2016</t>
  </si>
  <si>
    <t>The Oxford handbook of language and law / edited by Peter M. Tiersma and Lawrence M. Solan.</t>
  </si>
  <si>
    <t>Oxford New York : Oxford University Press, 2012.</t>
  </si>
  <si>
    <t>340.113 TieP l 2012</t>
  </si>
  <si>
    <t>The Oxford handbook of philosophical Methodology / edited by Herman Cappelen ... [et al.].</t>
  </si>
  <si>
    <t>Oxford New York : Oxford University Press, c2016.</t>
  </si>
  <si>
    <t>101.8 CapH p 2016</t>
  </si>
  <si>
    <t>The Oxford handbook of political philosophy / edited by David Estlund.</t>
  </si>
  <si>
    <t>32.01 EstD o 2012</t>
  </si>
  <si>
    <t>The Oxford handbook of reproductive ethics / edited by Leslie Francis.</t>
  </si>
  <si>
    <t>173 FraL o 2017</t>
  </si>
  <si>
    <t>The Oxford handbook of the history of analytic philosophy / edited by Michael Beaney.</t>
  </si>
  <si>
    <t>New York, NY : Oxford University Press, 2013.</t>
  </si>
  <si>
    <t>16(091) BeaM o 2015</t>
  </si>
  <si>
    <t>The Oxford handbook on the sources of international law / edited by Samantha Besson and Jean d'Aspremont with the assistance of Sóvrine Knuchel.</t>
  </si>
  <si>
    <t>341.01 BesS o 2017</t>
  </si>
  <si>
    <t>The Paris agreement on climate change : analysis and commentary / edited by Danien Klein ... [et al.].</t>
  </si>
  <si>
    <t>341:502/504 KleD p 2017</t>
  </si>
  <si>
    <t>The penal system : an introduction / Michael Cavadino, James Dignan and George Mair.</t>
  </si>
  <si>
    <t>Cavadino, Michael, 1953-</t>
  </si>
  <si>
    <t>Los Angeles London New Delhi : Sage, 2013.</t>
  </si>
  <si>
    <t>343.17 CavM p 2013</t>
  </si>
  <si>
    <t>The preventive turn in criminal law / Henrique Carvalho.</t>
  </si>
  <si>
    <t>Carvalho, Henrique.</t>
  </si>
  <si>
    <t>Oxford: Oxford University Press, 2017.</t>
  </si>
  <si>
    <t>343.985 CarH p 2017</t>
  </si>
  <si>
    <t>The principles of constitutionalism / N.W. Barber.</t>
  </si>
  <si>
    <t>Barber, N. W. (Nicholas William)</t>
  </si>
  <si>
    <t>342 BarN p 2018</t>
  </si>
  <si>
    <t>The protection of intellectual property in international law / Henning Grosse Ruse-Khan.</t>
  </si>
  <si>
    <t>Grosse Ruse-Khan, Henning (1974-).</t>
  </si>
  <si>
    <t>341.96:347.78 HenG p 2016</t>
  </si>
  <si>
    <t>The prudential carve-out for financial services : rationale and practice in the GATS and preferential trade agreements / Carlo Maria Cantore, Van Bael &amp; Bellis, University of Antwerp.</t>
  </si>
  <si>
    <t>Cantore, Carlo Maria, 1986-</t>
  </si>
  <si>
    <t>New York : Cambridge University Press, 2018.</t>
  </si>
  <si>
    <t>346 CanC p 2018</t>
  </si>
  <si>
    <t>The regulation of international trade / Petros C. Mavroidis.</t>
  </si>
  <si>
    <t>Mavroidis, Petros C.</t>
  </si>
  <si>
    <t>Cambridge, Massachusetts : The MIT Press, 2016-</t>
  </si>
  <si>
    <t>346 MavP r 2016 1+2</t>
  </si>
  <si>
    <t>The Routledge handbook of European criminology / edited by Sophie Body-Gendrot ... [et al.].</t>
  </si>
  <si>
    <t>London Berlin : Routledge, 2014.</t>
  </si>
  <si>
    <t>343.9 BodS r 2014</t>
  </si>
  <si>
    <t>The Routledge handbook of metaethics / ed. by Tristram McPherson and David Plunkett.</t>
  </si>
  <si>
    <t>New York : Routledge, Taylor &amp; Francis Group, 2018.</t>
  </si>
  <si>
    <t>17 McPT r 2018</t>
  </si>
  <si>
    <t>Αίθουσα Ιστορίας, Θεωρίας καί Φιλοσοφίας του Δικαίου</t>
  </si>
  <si>
    <t>The sources of international law / Hugh Thirlway.</t>
  </si>
  <si>
    <t>Thirlway, Hugh.</t>
  </si>
  <si>
    <t>Oxford : Oxford University Press, 2019</t>
  </si>
  <si>
    <t>341.04 ThiH s 2019</t>
  </si>
  <si>
    <t>The statute of the International Court of Justice : a commentary / edited by Andreas Zimmermann, Christian J. Tams in collaboration with Karin Oellers-Frahm, Christian Tomuschat assistant editors, Felix Boos, Eleni Methymaki.</t>
  </si>
  <si>
    <t>341.645.2 ZimA s 2019</t>
  </si>
  <si>
    <t>The strategic environmental assessment directive : a plan for success? / edited by Gregory Jοnes and Eloise Scotford.</t>
  </si>
  <si>
    <t>349.6 JonG s 2018</t>
  </si>
  <si>
    <t>The structures of criminal law / edited by R.A. Duff ... [et al.].</t>
  </si>
  <si>
    <t>343.2.01 DufA s 2011</t>
  </si>
  <si>
    <t>The substantive law of the EU the four freedoms / Catherine Barnard.</t>
  </si>
  <si>
    <t>Barnard, Catherine.</t>
  </si>
  <si>
    <t>5th ed</t>
  </si>
  <si>
    <t>34(4-672EU) BarC s 2016</t>
  </si>
  <si>
    <t>The United Nations Convention against Corruption : a commentary / edited by Cecily Rose, Michael Kubiciel, Oliver Landwehr.</t>
  </si>
  <si>
    <t>341.4 RosC u 2019</t>
  </si>
  <si>
    <t>The use of force and international law / Christian Henderson.</t>
  </si>
  <si>
    <t>Henderson, Christian.</t>
  </si>
  <si>
    <t>341.3 HenC u 2018</t>
  </si>
  <si>
    <t>The use of force in international law : a case-based approach / edited by Tom Ruys and Olivier Corten assistant editor, Alexandra Hofer.</t>
  </si>
  <si>
    <t>Oxord: Oxford University Press, 2018.</t>
  </si>
  <si>
    <t>341.3 RuyT u 2018</t>
  </si>
  <si>
    <t>The welfare state : a very short indroduction / David Garland.</t>
  </si>
  <si>
    <t>Garland, David.</t>
  </si>
  <si>
    <t>364 GarD w 2016</t>
  </si>
  <si>
    <t>The WTO and international investment law : converging systems / Jürgen Kurtz.</t>
  </si>
  <si>
    <t>Kurtz, Jürgen.</t>
  </si>
  <si>
    <t>Cambridge, United Kingdom : Cambridge University Press, 2016.</t>
  </si>
  <si>
    <t>346(06) ΠΟΕ KurJ w 2016</t>
  </si>
  <si>
    <t>Treatise on international criminal law / Kai Ambos.</t>
  </si>
  <si>
    <t>Ambos, Kai.</t>
  </si>
  <si>
    <t>341.4 AmbK t 2016 3</t>
  </si>
  <si>
    <t>Αίθουσα Διεθνούς Δικαίου και Εμπρορικού Δικαίου</t>
  </si>
  <si>
    <t>Treaty interpretation / Richard K. Gardiner.</t>
  </si>
  <si>
    <t>Gardiner, Richard K.</t>
  </si>
  <si>
    <t>341.24 GarR t 2015</t>
  </si>
  <si>
    <t>Umweltrecht / von Michael Kloepfer, unter Mitarbeit von Rico David Neugärtner.</t>
  </si>
  <si>
    <t>Kloepfer, Michael.</t>
  </si>
  <si>
    <t>4. Aufl.</t>
  </si>
  <si>
    <t>München : Beck, 2016.</t>
  </si>
  <si>
    <t>349.6 KloM u 2016</t>
  </si>
  <si>
    <t>Verträge der Energiewirtschaft : Strom, Gas, Erneuerbare Energien, KWK / hrsg. von Peter Mussaeus ... [et al] bearbeit. von Julia Fritz ... [et al].</t>
  </si>
  <si>
    <t>Berlin : de Gruyter, 2015.</t>
  </si>
  <si>
    <t>351.824.11(430) FriJ v 2015</t>
  </si>
  <si>
    <t>Water and the law : towards sustainability / edited by Michael Kidd ... [ et al.]</t>
  </si>
  <si>
    <t>Cheltenham : Edward Elgar, 2014.</t>
  </si>
  <si>
    <t>341:502.51 KidM w 2014</t>
  </si>
  <si>
    <t>What the rest think of the West : since 600 AD / Selected and with commentary by Laura Nader.</t>
  </si>
  <si>
    <t>Oakland, California : University of California Press, c2015.</t>
  </si>
  <si>
    <t>94(4+7) NadL w 2015</t>
  </si>
  <si>
    <t>Wirtschaftsstrafrecht / Hans Kudlich, Mustafa Temmuz Oğlakcioğlu.</t>
  </si>
  <si>
    <t>Kudlich, Hans.</t>
  </si>
  <si>
    <t>Heildelberg : C. F. Müller, 2014.</t>
  </si>
  <si>
    <t>343.538 KudH w 2014</t>
  </si>
  <si>
    <t>World trade law : text, materials, and commentary / Simon Lester, Bryan Mercurio, and Arwel Davies.</t>
  </si>
  <si>
    <t>Lester, Simon Nicholas.</t>
  </si>
  <si>
    <t>Oxford, UK New York : Hart, 2018.</t>
  </si>
  <si>
    <t>346 LesS w 2018</t>
  </si>
  <si>
    <t>WTO agreement on subsidies and countervailing measures : commentary / Wolfgang Müller.</t>
  </si>
  <si>
    <t>Müller, Wolfgang, 1957-</t>
  </si>
  <si>
    <t>Cambridge, UK New York : Cambridge University Press, 2017.</t>
  </si>
  <si>
    <t>346.542 MulW w 2017</t>
  </si>
  <si>
    <t>WTO Dispute Settlement and the TRIPS Agreement : applying intellectual property standards in a trade law framework / Matthew Kennedy.</t>
  </si>
  <si>
    <t>Kennedy, Matthew.</t>
  </si>
  <si>
    <t>341.96:347.77 KenM w 2016</t>
  </si>
  <si>
    <t>Zufall und Zurechnung im Haftungsrecht / Conrad Waldkirch.</t>
  </si>
  <si>
    <t>Waldkirch, Conrad.</t>
  </si>
  <si>
    <t>Tübingen : Mohr Siebeck, 2018.</t>
  </si>
  <si>
    <t>347.51(430) WalC z 2018</t>
  </si>
  <si>
    <t>Άγρια σκέψη / Claude Levi-Strauss ; μετάφραση Εύα Καλπουρτζή προλεγόμενα</t>
  </si>
  <si>
    <t>Levi-Strauss, Claude</t>
  </si>
  <si>
    <t>Αθήνα : Παπαζήση, 1977.</t>
  </si>
  <si>
    <t>39:316.323.2 LevS α/p 1977</t>
  </si>
  <si>
    <t>Ανθρωπολογία και παρελθόν : συμβολές στην κοινωνική ιστορία της νεότερης Ελλάδας / Ευθύμιος Παπαταξιάρχης, Θεόδωρος Παραδέλλης, επιμέλεια.</t>
  </si>
  <si>
    <t>Αθήνα : Εκδόσεις Αλεξάνδρεια, 1993.</t>
  </si>
  <si>
    <t>308(495) ΠαπΕ α 1993</t>
  </si>
  <si>
    <t>Ανθρωπολογία και σύγχρονη τέχνη / επιμέλεια Ελπίδα Ρίκου.</t>
  </si>
  <si>
    <t>Αθήνα : Αλεξάνδρεια, 2013.</t>
  </si>
  <si>
    <t>7.01:39 ΡικΕ α 2013</t>
  </si>
  <si>
    <t>Ανθρωπολογία, γυναίκες και φύλο / κείμενα των Sherry Ortner, Marilyn Strathern, Michell Rosaldo ; επιμέλεια Αλεξάνδρα Μπακαλάκη.</t>
  </si>
  <si>
    <t>Ortner, Sherry B., 1841-</t>
  </si>
  <si>
    <t>Αθήνα : Αλεξάνδρεια, 1994.</t>
  </si>
  <si>
    <t>305-055.2 OrtS α 1994</t>
  </si>
  <si>
    <t>Αρχείο Κωνσταντίνου Λογοθέτη Δουζίνα (1803-1830): συμβολή στην Ιστορία της νήσου Πόρου / Κωστής Δουζινάς γενική επιμέλεια έκδοσης - κειμένων, εισαγωγής Καλλιόπη (Κέλλυ) Μπουρδάρα μεταγραφή επιμέλεια κειμένου Βασίλειος Αλέξανδρος Κόλλιας.</t>
  </si>
  <si>
    <t>Δουζίνας, Κώστας, 1951-.</t>
  </si>
  <si>
    <t>Αθήνα : Καλλίγραφος, 2018.</t>
  </si>
  <si>
    <t>94(495.1) ΔουΚ α 2018</t>
  </si>
  <si>
    <t>Αίθουσα Ιστoρίας, Θεωρίας και Φιλοσοφίας του Δικαίου</t>
  </si>
  <si>
    <t>Γενικός κανονισμός για την προστασία των προσωπικών δεδομένων (GDPR) : νομική διάσταση και πρακτική εφαρμογή / Λεωνίδας Κοτσαλής, Κωνσταντίνος Μενουδάκος.</t>
  </si>
  <si>
    <t>Κοτσαλής, Λεωνίδας.</t>
  </si>
  <si>
    <t>Αθήνα : Νομική Βιβλιοθήκη, c2018.</t>
  </si>
  <si>
    <t>342.721 ΚοτΛ γ 2018</t>
  </si>
  <si>
    <t>Για μία ανθρωπολογία των σύγχρονων κόσμων / Marc Augé μετάφραση Δέσποινα Σαραφείδου εισαγωγή</t>
  </si>
  <si>
    <t>Auge, Marc, 1935-</t>
  </si>
  <si>
    <t>Αθήνα : Αλεξάνδρεια, 1999.</t>
  </si>
  <si>
    <t>39 AugM p/μ 1999</t>
  </si>
  <si>
    <t>Δημόσιες συμβάσεις Ν. 4412/2016 : ερμηνεία κατ' άρθρο : σχετικές διατάξεις-νομολογία / Δημήτριος Γ. Ράικος, Ευαγγελία Γ. Βλάχου, Ευανθία Κ. Σαββίδη.</t>
  </si>
  <si>
    <t>351.712 ΡάιΔ δ 2018 1</t>
  </si>
  <si>
    <t>Δικαστική δεοντολογία, ελευθερία του λόγου και προστασία της προσωπικότητας / Κωνσταντίνος Μενουδάκος, Χρήστος Ράμμος, Αικατερίνη Σακελλαροπούλου, Ιωάννης Σαρμάς, Χριστόφορος Κοσμίδης, Αλκμήνη Φωτιάδου πρόλογος Ξενοφών Κοντιάδης.</t>
  </si>
  <si>
    <t>Μενουδάκος, Κωνσταντίνος.</t>
  </si>
  <si>
    <t>Αθήνα Θεσσαλονίκη : Εκδόσεις Σάκκουλα, 2016.</t>
  </si>
  <si>
    <t>342.727 ΜενΚ δ 2016</t>
  </si>
  <si>
    <t>Διοικητικό Πρωτοδικείο : εφαρμογές διοικητικού, ουσιαστικού &amp; δικονομικού δικαίου / επιμέλεια Χαράλαμπος Χρυσανθάκης.</t>
  </si>
  <si>
    <t>351.95 ΧρυΧ δ 2018</t>
  </si>
  <si>
    <t>Εγγυήσεις «δίκαιης δίκης» και δικαιώματα κατηγορουμένου στην «ποινική δικονομία» του 1834 : επισκόπηση της ποινικής νομολογίας του Αρείου Πάγου των ετών 1835-1855 / 'Αννα Μπενάκη-Ψαρούδα με τη συνεργασία της Βασιλικής Τζαλαβρά.</t>
  </si>
  <si>
    <t>Ψαρούδα-Μπενάκη, Άννα, 1934-</t>
  </si>
  <si>
    <t>Αθήνα : Ακαδημία Αθηνών, 2019.</t>
  </si>
  <si>
    <t>343(091) ΨαρΑ ε 2019</t>
  </si>
  <si>
    <t>Αθήνα Θεσσαλονίκη : Εκδόσεις Σάκκουλα, 2018.</t>
  </si>
  <si>
    <t>347.952(495) ΝικΝ ε 2018</t>
  </si>
  <si>
    <t>Εισαγωγή στις σπουδές του λαϊκού πολιτισμού : λαογραφίες, λαϊκοί πολιτισμοί, ταυτότητες / Ευάγγελος Γρ. Αυδίκος.</t>
  </si>
  <si>
    <t>Αυδίκος, Ευάγγελος Γρ., 1951-</t>
  </si>
  <si>
    <t>Αθήνα : Κριτική, c2009.</t>
  </si>
  <si>
    <t>398 ΑυδΕ ε 2009</t>
  </si>
  <si>
    <t>Επίσημα κείμενα βιοηθικής : μεταμοσχεύσεις, ευθανασία, υποβοηθούμενη αναπαραγωγή</t>
  </si>
  <si>
    <t xml:space="preserve"> Ιερά Σύνοδος της Εκκλησίας της Ελλάδος. Επιτροπή Βιοηθικής.</t>
  </si>
  <si>
    <t>Athens : Ιερά Σύνοδος της Εκκλησίας της Ελλάδος. Επιτροπή Βιοηθικής, 2007.</t>
  </si>
  <si>
    <t>347.611 EKB 2007</t>
  </si>
  <si>
    <t>Η αρχή ne bιs in idem και το αβέβαιο ελληνικό διοικητικό δίκαιο : το αβέβαιο μέλλον μιας [κάποτε] πολλά υποσχόμενης αρχής / Μελέτιος Στυλ. Μουστάκας.</t>
  </si>
  <si>
    <t>Μουστάκας, Μελέτιος</t>
  </si>
  <si>
    <t>Αθήνα : Εκδόσεις Σάκκουλα, 2018.</t>
  </si>
  <si>
    <t>342.9(495) ΜουΜ α 2018</t>
  </si>
  <si>
    <t>Η διοικητική &amp; δικαστική προστασία κατά τη σύναψη των δημοσίων συμβάσεων : οι ρυθμίσεις του Ν 3886/2016 υπό το πρίσμα των αποφάσεων των Διοικητικών Δικαστηρίων και της ΑΕΠΠ / Σωτήριος Κ. Κυβέλος πρόλογος Ιωάννης Συμεωνίδης.</t>
  </si>
  <si>
    <t>Κύβελος, Σωτήριος Κ.</t>
  </si>
  <si>
    <t>351.712 ΚυβΣ δ 2018</t>
  </si>
  <si>
    <t>Η ευθύνη του θαλάσσιου μεταφορέα εμπορευμάτων στους κανόνες Ρότερνταμ, 2008 / Φωτεινή Δ. Πορτοκάλη πρόλογος Λία Ι. Αθανασίου.</t>
  </si>
  <si>
    <t>Πορτοκάλη, Φωτεινή</t>
  </si>
  <si>
    <t>Αθήνα: Νoμική βιβλιοθήκη, 2019.</t>
  </si>
  <si>
    <t>347.795.3 ΠορΦ ε 2019</t>
  </si>
  <si>
    <t>Η κανονιστική διοικητική πράξη : διαδικασία παραγωγής, δικαστικός έλεγχος, διακηρύξεις, προβολή των λόγων ακυρώσεως κατά στάδια, παρεμπίπτων έλεγχος, συμμόρφωση της διοίκησης / Δημήτρης Τομαράς.</t>
  </si>
  <si>
    <t>Τομαράς, Δημήτρης.</t>
  </si>
  <si>
    <t>342.924 ΤομΔ κ 2018</t>
  </si>
  <si>
    <t>Η κρίση ως ευκαιρία και ως πρόκληση : για μια νέα ρύθμιση του χρηματοπιστωτικού συστήματος / Αθανάσιος Αλ. Κολλιόπουλος πρόλογος Γιώργου Σωτηρέλη.</t>
  </si>
  <si>
    <t>Κολλιόπουλος, Αθανάσιος Αλ.</t>
  </si>
  <si>
    <t>Αθήνα : Παπαζήσης, 2019.</t>
  </si>
  <si>
    <t>339.7 ΚολΑ κ 2019</t>
  </si>
  <si>
    <t>Η πρόσβαση στα έγγραφα και λοιπά στοιχεία της διοίκησης / Ιωάννης Λ. Συμεωνίδης επιμέλεια νομολογίας-νομοθεσίας: Ευαγγελία Παυλίδου.</t>
  </si>
  <si>
    <t>Συμεωνίδης, Ιωάννης Λ.</t>
  </si>
  <si>
    <t>342.727 ΣυμΙ π 2018</t>
  </si>
  <si>
    <t>Η προστασία του πολιτιστικού περιβάλλοντος σε περίοδο οικονομικής κρίσης / Κατερίνα Παπαδοπούλου πρόλογος Σπυρίδων Φλογαΐτης [μέλη επταμελούς εξεταστικής επιτροπής Σπυρίδωνας Φλογαΐτης, Γλυκερία Σιούτη, Θεοδώρα Αντωνίου, Σπύρος Βλαχόπουλος, Γεώργιος Δελλής, Παπαρρηγοπούλου Πατρίνα, Πάνος Λαζαράτος]</t>
  </si>
  <si>
    <t>Παπαδοπούλου, Αικατερίνη.</t>
  </si>
  <si>
    <t>Ηλεκτρική ενέργεια και δίκαιο των συμβάσεων : από το μονοπώλιο στο unbundling και στο χρηματιστήριο / Δημήτρης Χ. Λιάππης.</t>
  </si>
  <si>
    <t>Λιάππης, Δημήτρης Χ.</t>
  </si>
  <si>
    <t>Αθήνα : Π.Ν. Σάκκουλας, 2018.</t>
  </si>
  <si>
    <t>351.824.11 ΛιαΔ η 2018</t>
  </si>
  <si>
    <t>Κανόνες soft law στο διοικητικό δίκαιο / Ευγενία Β. Πρεβεδούρου πρόλογος Αθανάσιος Ράντος.</t>
  </si>
  <si>
    <t>Πρεβεδούρου, Ευγενία Β.</t>
  </si>
  <si>
    <t>Αθήνα Θεσσαλονίκη : Εκδόσεις Σάκκουλα, 2017.</t>
  </si>
  <si>
    <t>342.9 ΠρεΕ κ 2017</t>
  </si>
  <si>
    <t>Κώδικας διοικητικής διαδικασίας : Ν 2690/1999 : διαγράμματα, ερμηνευτικά σχόλια, νομολογία : ενημέρωση έως και τον Ν 4325/2015 / Βασίλειος Γκέρτσος, Δημήτριος Πυργάκης.</t>
  </si>
  <si>
    <t>Γκέρτσος, Βασίλειος Α.</t>
  </si>
  <si>
    <t>35.077 ΓκεΒ κ 2015</t>
  </si>
  <si>
    <t>Κώδικας διοικητικής δικονομίας: κατ' άρθρο ερμηνεία-νομολογία/ Βλαδίμηρος Δ. Μωυσίδης.</t>
  </si>
  <si>
    <t>Μωυσίδης, Βλαδίμηρος Δ.</t>
  </si>
  <si>
    <t>6η έκδ. πλήρως αναθ.</t>
  </si>
  <si>
    <t>Αθήνα Θεσσαλονίκη: Σάκκουλας, 2017.</t>
  </si>
  <si>
    <t>351.95 ΜωυΒ κ 2017</t>
  </si>
  <si>
    <t>Μελέτες για το φύλο στην ανθρωπολογία και την ιστορία / επιμέλεια Βενετία Καντσά, Βασιλική Μουτάφη, Ευθύμιος Παπαταξιάρχης.</t>
  </si>
  <si>
    <t>Αθήνα : Αλεξάνδρεια, 2011.</t>
  </si>
  <si>
    <t>305 ΚανΒ μ 2011</t>
  </si>
  <si>
    <t>Μουσική και ήχος : ανθρωπολογικές προσεγγίσεις / εθνογραφικές μελέτες των Steven Feld, Marina Roseman και Anthony Seeger ; επιμέλεια, μετάφραση, εισαγωγή, επίμετρο Παναγιώτης Πανόπουλος.</t>
  </si>
  <si>
    <t>Αθήνα : Αλεξάνδρεια, 2005.</t>
  </si>
  <si>
    <t>398.8 ΠανΠ μ 2005</t>
  </si>
  <si>
    <t>Νοσταλγία για τη Βραζιλία / Claude Lévi-Strauss μετάφραση: Ιόλη Δελιβάνη</t>
  </si>
  <si>
    <t>Αθήνα : Κέδρος, 2008.</t>
  </si>
  <si>
    <t>913(81) LevC s/ν 2008</t>
  </si>
  <si>
    <t>Οικογένεια, συγγένεια και γάμος στη νεότερη Ελλάδα : εθνοκοινωνιολογική προσέγγιση / Ελευθέριος Π. Αλεξάκης.</t>
  </si>
  <si>
    <t>Αλεξάκης, Ελευθέριος Π.</t>
  </si>
  <si>
    <t>Αθήνα : Ηρόδοτος, 2014.</t>
  </si>
  <si>
    <t>392.3(495) ΑλεΕ ο 2014</t>
  </si>
  <si>
    <t>Περιπέτειες της ετερότητας : η παραγωγή της πολιτισμικής διαφοράς στη σημερινή Ελλάδα / επιμέλεια Ευθύμιος Παπαταξιάρχης πρόλογος του επιμελητή στη δεύτερη έκδοση.</t>
  </si>
  <si>
    <t>2η έκδ. συμπλ.</t>
  </si>
  <si>
    <t>Αθήνα : Αλεξάνδρεια, 2015.</t>
  </si>
  <si>
    <t>316.7(495) ΠαπΕ π 2015</t>
  </si>
  <si>
    <t>Ποινικό δίκαιο &amp; αντεγκληματική πολιτική κατά της διαφθοράς = Criminal law and policy against corruption = Strafrecht und Kriminalpolitik gegen die Korruption = Droit penal et politique crimenelle contre la corruption / Δημήτρης Ζιούβας ... [κ.ά.] πρόλογος Προκόπιο Παυλόπουλος</t>
  </si>
  <si>
    <t>Ζιούβας, Δημήτρης Λ.</t>
  </si>
  <si>
    <t>Αθήνα : Ευρωπαϊκές Πανεπιστημικές Εκδόσεις, c2018.</t>
  </si>
  <si>
    <t>343.985 ΖιοΔ π 2018</t>
  </si>
  <si>
    <t>Πολιτισμός και εθνογραφία : από τον εθνογραφικό ρεαλισμό στην πολιτισμική κριτική / Δήμητρα Γκέφου-Μαδιανού.</t>
  </si>
  <si>
    <t>Γκέφου-Μαδιανού, Δήμητρα.</t>
  </si>
  <si>
    <t>Αθήνα : Εκδόσεις Πατάκη, 2011.</t>
  </si>
  <si>
    <t>39 ΓκεΔ π 2011</t>
  </si>
  <si>
    <t>Σύμβαση εκτέλεσης δημοσίου έργου : Νόμοι 3669/2008, 4070/2012 και 4412/2016: ερμηνεία και νομολογία κατ' άρθρο / Χρήστος Μητκίδης.</t>
  </si>
  <si>
    <t>Μητκίδης, Χρήστος.</t>
  </si>
  <si>
    <t>Αθήνα : Νομική Βιβλιοθήκη, c2017.</t>
  </si>
  <si>
    <t>351.712 ΜητΧ σ 2017</t>
  </si>
  <si>
    <t>Συμβολή για την αποτελεσματικότητα της δικαιοσύνης : βελτίωση της ποιότητας και ταχύτητας της πολιτικής και ποινιοκής δίκης, (αναδι-)οργάνωση του δικαστικού και σωφρονιστικού συστήματος / Εταιρία Δικαστικών Μελετών.</t>
  </si>
  <si>
    <t>Εταιρία Δικαστικών Μελετών.</t>
  </si>
  <si>
    <t>351.87(495) ΕΔΜ 2015</t>
  </si>
  <si>
    <t>Σύνταγμα: κατ' άρθρο ερμηνεία / Φ. Σπυρόπουλος, Ξ. Κοντιάδης, Χ. Ανθόπουλος, Γ. Γεραπετρίτης (επιστημονική διεύθυνση).</t>
  </si>
  <si>
    <t>Αθήνα Θεσσαλονίκη: Αντ. Ν. Σάκκουλας, 2017.</t>
  </si>
  <si>
    <t>342.4(495) ΣπυΦ σ 2017</t>
  </si>
  <si>
    <t>Ταυτότητες και φύλο στη σύγχρονη Ελλάδα : ανθρωπολογικές προσεγγίσεις / επιμέλεια Ευθύμιος Παπαταξιάρχης, Θεόδωρος Παραδέλλης.</t>
  </si>
  <si>
    <t>305 ΠαπΕ τ 1998</t>
  </si>
  <si>
    <t>Το δίκαιο της ανάγκης και η διάστασις της νομολογίας Συμβουλίου Επικρατείας και Αρείου Πάγου / Αναστασίου-Ιωάννου Δ. Μεταξά [συμβολές στη νέα έκδοση] Κωνσταντίνος Φ. Μενουδάκος, Σπύρος Βλαχόπουλος, Χαράλαμπος Ανθόπουλος, Αναστάσιος-Ιωάννης Δ. Μεταξάς.</t>
  </si>
  <si>
    <t>Μεταξάς, Αναστάσιος-Ιωάννης Δ.</t>
  </si>
  <si>
    <t>Επετειακή ανατύπωση / 1967-2017.</t>
  </si>
  <si>
    <t>Αθήνα : Ευρασία, 2017.</t>
  </si>
  <si>
    <t>342.76 ΜετΑ δ 2017</t>
  </si>
  <si>
    <t>Το εργατικό δίκαιο στην τέταρτη βιομηχανική επανάσταση : ψηφιοποίηση, ρομποτική και τεχνητή νοημοσύνη / Δημήτρης Α. Τραυλός-Τζανετάτος.</t>
  </si>
  <si>
    <t>Αθήνα Θεσσαλονίκη : Σάκκουλα, 2019.</t>
  </si>
  <si>
    <t>349.2(495) ΤραΔ ε 2019</t>
  </si>
  <si>
    <t>Υπαλληλικός κώδικας : ερμηνεία κατ' άρθρο / επιμέλεια: Σταυρούλα Κτιστάκη, Βασίλειος Κονδύλης, Ευαγγελία Τζιράκη εισαγωγή: Θ. Ξηρός συνεργάτες: Ε. Αργυρός ... [κ.ά.].</t>
  </si>
  <si>
    <t>35.08 ΚτιΣ υ 2018</t>
  </si>
  <si>
    <t>Φυλή και ιστορία , φυλή και πολιτισμός / Claude Lévi-Strauss πρόλογος Michel Izard, μετάφραση Αθανάσιος Δ. Στεφανής.</t>
  </si>
  <si>
    <t>Lévi-Strauss, Claude, 1908-2009.</t>
  </si>
  <si>
    <t>Αθήνα : Πατάκης, 2003.</t>
  </si>
  <si>
    <t>39 LevC φ 2003</t>
  </si>
  <si>
    <t>Cultural criminology unleashed / edited by Jeff Ferrell ... [et al.].</t>
  </si>
  <si>
    <t>International Conference on Cultural Criminology (1st : 2003 : London)</t>
  </si>
  <si>
    <t>London : GlassHouse press Portland, Or. : Cavendish Publishing, 2004.</t>
  </si>
  <si>
    <t>343.97(063) ICCC2003 c 2004</t>
  </si>
  <si>
    <t>Les empereurs romains d'Espagne: Madrid-Italica 31 mars - 6 avril 1964.</t>
  </si>
  <si>
    <t>Centre National de la recherche scientifique Colloques (1964: Madrid)</t>
  </si>
  <si>
    <t>Paris: Éditions du Centre National de la recherche scientifique, 1965.</t>
  </si>
  <si>
    <t>94(365)(063) CNRS1964 e 1965</t>
  </si>
  <si>
    <t>Migrants at work : immigration and vulnerability in labour law / edited by Cathryn Costello and Mark Freedland.</t>
  </si>
  <si>
    <t>Oxford : Oxford University Press, 2014.</t>
  </si>
  <si>
    <t>341.215.4- 54.72(063) MW2012 2014</t>
  </si>
  <si>
    <t>Αίθουσα Διεθνούς δικαίου και Εμπορικού</t>
  </si>
  <si>
    <t>Natura 2000 et le juge : situation en Belgique et dans l'Union européenne = Natura 2000 and the judge : situation in Belgium and in the European Union / sous la direction de Charles-Hubert Born et Francis Haumont.</t>
  </si>
  <si>
    <t>Bruxelles : Bruyllant, 2014.</t>
  </si>
  <si>
    <t>349.6(4-672EU)(063) NTJ2011 2014</t>
  </si>
  <si>
    <t>Obligations in Roman law : past, present, and future / editor Thomas A. J. McGinn.</t>
  </si>
  <si>
    <t>Conference on Roman Law : The Future of Obligations (2008 : Rome, Italy)</t>
  </si>
  <si>
    <t>Ann Arbor : University of Michigan Press, 2012.</t>
  </si>
  <si>
    <t>347.44(37)(063) CRLFO2008 o 2012</t>
  </si>
  <si>
    <t>Religion in liberal political philosophy / edited by Cécile Laborde and Aurélia Bardon.</t>
  </si>
  <si>
    <t>Oxford New York, NY : Oxford University Press, 2017.</t>
  </si>
  <si>
    <t>342.731(063) RLP2015 2017</t>
  </si>
  <si>
    <t>Sécurité et environnement / sous la coordination de Nicolas Clinchamps, Christel Cournil, Catherine Fabregoule, Geetha Ganapathy-Doré.</t>
  </si>
  <si>
    <t>Bruxelles : Bruylant, 2016.</t>
  </si>
  <si>
    <t>349.6(063) SEN2015 2016</t>
  </si>
  <si>
    <t>Security and international law / edited by Mary E Footer, Julia Schmidt, Nigel D White and Lydia Davies-Bright.</t>
  </si>
  <si>
    <t>Oxford, UK Portland, Oregon : Hart Publishing Ltd, 2016.</t>
  </si>
  <si>
    <t>341.1/.8(063) SIL2012 2016</t>
  </si>
  <si>
    <t>The Habitats Directive : a developer's obstacle course? / edited by Gregory Jones.</t>
  </si>
  <si>
    <t>Oxford Portland, Oregon : Hart Publishing, 2012.</t>
  </si>
  <si>
    <t>349.6(063) JonG h 2012</t>
  </si>
  <si>
    <t>The unity of public law : doctrinal, theoretical and comparative perspectives / edited by Mark Elliott, Jason NE Varuhas, Shona Wilson Stark.</t>
  </si>
  <si>
    <t>Public Law Conference (2nd : 2016 : Cambridge, UK)</t>
  </si>
  <si>
    <t>Oxford London New York : Hart, 2018.</t>
  </si>
  <si>
    <t>342(063) PLC2016 u 2018</t>
  </si>
  <si>
    <t>Διαδρομές και τόποι της μνήμης : ιστορικές και ανθρωπολογικές προσεγγίσεις / επιμέλεια Ρ. Μπενβενίστε, Θ. Παραδέλλης.</t>
  </si>
  <si>
    <t>Αθήνα : Αλεξάνδρεια : Πανεπιστήμιο Αιγαίου, 1999.</t>
  </si>
  <si>
    <t>39(063) ΔΤΜ1995 1999</t>
  </si>
  <si>
    <t>Ζητήματα του δικαίου της διατροφής : 5ο Πανελλήνιο Συνέδριο Εταιρίας Οικογενεικού Δικαίου Καλαμάτα, 10-11 Νοεμβρίου 2017 / εισηγητές Ευγενία Δακορώνια ...[κ.ά.] Εταρία Οικογενειακού Δικαίου.</t>
  </si>
  <si>
    <t>Πανελλήνιο Συνέδριο Οικογενειακού Δικαίου (5ο : 2017 : Καλαμάτα, Ελλάδα).</t>
  </si>
  <si>
    <t>347.6(063) ΠΣΟΔ2017 ζ 2018</t>
  </si>
  <si>
    <t>Κακή άσκηση της γονικής μέριμνας και ενδοοικογενειακή βία : 4ο Πανελλήνιο Συνέδριο Εταιρίας Οικογενεικού Δικαίου / εισηγητές Ιωάννα Κονδύλη ...[κ.ά.] Εταιρία Οικογενειακού Δικαίου.</t>
  </si>
  <si>
    <t>Πανελλήνιο Συνέδριο Οικογενειακού Δικαίου (4ο : 2016 : Δελφοί, Ελλάδα).</t>
  </si>
  <si>
    <t>347.6(063) ΠΣΟΔ2016 κ 2017</t>
  </si>
  <si>
    <t>Το δικαίωμα υπερασπίσεως στην ποινική δίκη : όψεις και όρια : 15-16 Απριλίου 2016, Συνεδριακό Κέντρο, ΤΕΙ Δυτικής Ελλάδος, Πάτρα / Ένωση Ελλήνων Ποινικολόγων.</t>
  </si>
  <si>
    <t>Ένωση Ελλήνων Ποινικολόγων. Συνέδριο (7ο : 2016 : Πάτρα)</t>
  </si>
  <si>
    <t>343.12(063) ΕΕΠ2016 δ 2017</t>
  </si>
  <si>
    <t>Το Ευρωπαϊκό Δικαστήριο Δικαιωμάτων του Ανθρώπου και το Συμβούλιο της Επικρατείας σε διαρκή διάλογο / επιμέλεια Μιχάλης Ν. Πικραμένος.</t>
  </si>
  <si>
    <t>Αθήνα: Εκδόσεις Σάκκουλα, 2013.</t>
  </si>
  <si>
    <t>342.7(063) ΕΔΔ2013 2013</t>
  </si>
  <si>
    <t>Hans-Joachim Gehrke ; μετάφραση / βιβλιογραφική ενημέρωση Άγγελος Χανιώτης ; εποπτεία Κώστας Μπουραζέλης.</t>
  </si>
  <si>
    <t>326(32) BieI e 1974 1+2</t>
  </si>
  <si>
    <t>341.3(38) BouF r 1976 1+2</t>
  </si>
  <si>
    <t>292 RudJ t 1999</t>
  </si>
  <si>
    <t xml:space="preserve">34(38) RuzF e 2003 </t>
  </si>
  <si>
    <t>94(3) StrH s 1982 1+2</t>
  </si>
  <si>
    <t>343(430) WesJ s 2014 1+2</t>
  </si>
  <si>
    <t xml:space="preserve">394(392) WorM s 1988 </t>
  </si>
  <si>
    <t>34(4-672EU) ΤσαΔ ε 1997</t>
  </si>
  <si>
    <t xml:space="preserve">4η έκδ. ενημερωμένη </t>
  </si>
  <si>
    <t>Actes du colloque international sur l'ideologie monarchique dans l'antiquite = Disputationes historicorum diversarum nationum de imperio regnoque unius temporibus antiquis concepto : Cracovie-Mogilany du 23 au 26 Octobre 1977: Cracovia-Mogilany, diebus 23"&amp;" ad 26 Octobris MCMLXXVII.</t>
  </si>
  <si>
    <t>Colloque International sur l'Ideologie Monarchique dans l'Antiquite (1977: Mogilany, Poland)</t>
  </si>
  <si>
    <t>Krakow : Nakladem Uniwersytetu Jagiellonskiego : Panstwowe Wydawnictwo Naukowe, 1980</t>
  </si>
  <si>
    <t>Convergences et contradictions du droit des investissements et des droits de l'homme : une approche contentieuse = Convergences and contradictions between investment law and human rights law : a litigation approach / journée d'étude organisée sous la d"&amp;"irection scientifique de Walid Ben Hamida et de Frédérique Coulée = Study day organised under the scientific supervision of Walid Ben Hamida and of Frédérique Coulée</t>
  </si>
  <si>
    <t>341.231.14(063) BenH c 2017</t>
  </si>
  <si>
    <t>Satvinder Juss and Maurice Sunkin (editors)</t>
  </si>
  <si>
    <t>34(37)(093.2) Ιουσ BluJ c 2016 1-3</t>
  </si>
  <si>
    <t>The EU Charter of C4Fundamental Rights:  a commentary</t>
  </si>
  <si>
    <t>Steve Peers, Tamara Hervey, Jeff Kenner and Angela Ward (editors)</t>
  </si>
  <si>
    <t>The foundations and traditions of constitutional amendment</t>
  </si>
  <si>
    <t>Richard Albert, Xenophon Contiades, and Alkmene Fotiadou (editors)</t>
  </si>
  <si>
    <t>The Vienna Conventions on the Law of Treaties : a commentary</t>
  </si>
  <si>
    <t>Olivier Corten, Pierre Klein (editors)</t>
  </si>
  <si>
    <t>341.24  CorO v 2011 1+2</t>
  </si>
  <si>
    <t>Η εμμάρτυρη απόδειξη στην πολιτική δίκη κατά το ελληνικό, αγγλικό και κυπριακό δίκαιο / Αναστασία-Μαρία Φρ. Ιωαννίδη.</t>
  </si>
  <si>
    <t>Η προοπτική ενός συντάγματος για την Ευρώπη</t>
  </si>
  <si>
    <t>Μανιτάκης A., Παπαδοπούλου Λ.  (επιμέλεια)</t>
  </si>
  <si>
    <t>A peaceful revolution : the development of police and judicial cooperation in the European Union / Cyrille Fijnaut.</t>
  </si>
  <si>
    <t>Fijnaut, Cyrille, 1946-</t>
  </si>
  <si>
    <t>Cambridge Antwerp Chicago : Intersentia, 2019.</t>
  </si>
  <si>
    <t>34(4-672EU) FijC p 2019</t>
  </si>
  <si>
    <t>Aarhus-Konvention : Handkommentar / Astrid Epiney, Stefan Diezig, Benedikt Pirker, Stefan Reitemeyer.</t>
  </si>
  <si>
    <t>Baden Baden : Nomos Wien : Manz Basel : Helbing Lichtenhahn, 2018.</t>
  </si>
  <si>
    <t>349.6 AK 2008</t>
  </si>
  <si>
    <t>Administrative law of the European Union, its member states and the United States.;"Comparative administrative law : administrative law of the European Union</t>
  </si>
  <si>
    <t>its member states and the United States / René Seerden (ed.)."</t>
  </si>
  <si>
    <t>Cambridge Antwerp : Intersentia, 2018.</t>
  </si>
  <si>
    <t>342.9 SeeR c 2018</t>
  </si>
  <si>
    <t>Alexandrie la grande / André Bernard.</t>
  </si>
  <si>
    <t>Bernand, André.</t>
  </si>
  <si>
    <t>Paris : Hachette, c1996.</t>
  </si>
  <si>
    <t>94(32) BerA a 1996</t>
  </si>
  <si>
    <t>Allgemeines Verwaltungsrecht : mit Online-Zugang zur Jura-Kartei-Datenbank / herausgegeben von Dirk Ehlers und Hermann Pünder bearbeitet von Martin Burgi ...[et al.].</t>
  </si>
  <si>
    <t>15. Aufl.</t>
  </si>
  <si>
    <t>Berlin : De Gruyter, 2016.</t>
  </si>
  <si>
    <t>342.9(430) EhlD a 2016</t>
  </si>
  <si>
    <t>Allgemeines Verwaltungsrecht : mit Verwaltungsprozessrecht und Staatshaftungsrecht / Wilfried Erbguth, Annette Guckelberger.</t>
  </si>
  <si>
    <t>Erbguth, Wilfried.</t>
  </si>
  <si>
    <t>9. Aufl.</t>
  </si>
  <si>
    <t>Baden-Baden : Nomos, 2018.</t>
  </si>
  <si>
    <t>342.9(430) ErgW a 2018</t>
  </si>
  <si>
    <t>Andrews on civil processes : court proceedings, arbitration &amp; mediation / Neil Andrews.</t>
  </si>
  <si>
    <t>Andrews, Neil.</t>
  </si>
  <si>
    <t>Cambridge, United Kingdom : Intersentia, [2019]</t>
  </si>
  <si>
    <t>347.965.42 AndN a 2019</t>
  </si>
  <si>
    <t>Arbitral awards as investments : treaty interpretation and the synamics of International investment law / Maximilian Clasmeier.</t>
  </si>
  <si>
    <t>Clasmeier, Maximilian.</t>
  </si>
  <si>
    <t>The Netherlands : Wolters Kluwer, [2017]</t>
  </si>
  <si>
    <t>341.63:347.7 ClaM a 2017</t>
  </si>
  <si>
    <t>Arbitration under international investment agreements : a guide to the key issues / edited by Katia Yannaca-Small.</t>
  </si>
  <si>
    <t>341.63:347.7 YanK a 2018</t>
  </si>
  <si>
    <t>Boundaries of European private international law = Les frontières du droit international privé européen = Las fronteras del derecho internacional privado europeo / Jean-Sylvestre Bergé, Stéphanie Francq, Miguel Gardeñes Santiago (editors).</t>
  </si>
  <si>
    <t>Bruxelles : Bruylant, 2015.</t>
  </si>
  <si>
    <t>341.9(4-672EU)(063) BEP2014 2015</t>
  </si>
  <si>
    <t>Calculation of compensation and damages in international investment law / Irmgard Marboe.</t>
  </si>
  <si>
    <t>Marboe, Irmgard.</t>
  </si>
  <si>
    <t>346 MarI c 2017</t>
  </si>
  <si>
    <t>Choice of law / Symeon C. Symeonides.</t>
  </si>
  <si>
    <t>Συμεωνίδης, Συμεών, 1949-</t>
  </si>
  <si>
    <t>341.9(73) ΣυμΣ c 2016</t>
  </si>
  <si>
    <t>Civil procedure and harmonisation of law : The dynamics of EU and international treaties / edited by Anna Nylund, Magne Strandberg.</t>
  </si>
  <si>
    <t>Cambridge : Intersentia, 2019.</t>
  </si>
  <si>
    <t>-</t>
  </si>
  <si>
    <t>Collective reparations : tensions and dilemmas between collective reparations and the individual right to receive reparations / Diana Itza Odier-Contreras Garduño.</t>
  </si>
  <si>
    <t>Odier-Contreras Garduño, Diana Itza.</t>
  </si>
  <si>
    <t>Cambridge, United Kingdom : Intersentia, 2018.</t>
  </si>
  <si>
    <t>- OdiD c 2018</t>
  </si>
  <si>
    <t>Comparative concepts of criminal law / edited by Johannes Keiler, David Roef.</t>
  </si>
  <si>
    <t>343.05 KeiJ c 2019</t>
  </si>
  <si>
    <t>Cultural heritage and international law : objects, means and ends of international protection / [edited by] Evelyne Lagrange ... [et all].</t>
  </si>
  <si>
    <t>[New York : Springer, 2018.</t>
  </si>
  <si>
    <t>Directives européennes et conflits de lois / Benjamin Mathieu préface de Dominique Bureau.</t>
  </si>
  <si>
    <t>Mathieu, Benjamin, 1981-</t>
  </si>
  <si>
    <t>Issy-les-Moulineaux : LGDJ, lextenso éditions, 2015.</t>
  </si>
  <si>
    <t>341.9(4-672EU) MatB d 2015</t>
  </si>
  <si>
    <t>Droit administratif / Didier Truchet.</t>
  </si>
  <si>
    <t>Truchet, Didier.</t>
  </si>
  <si>
    <t>7e ed.</t>
  </si>
  <si>
    <t>Paris : Presses Universitaires de France, 2017.</t>
  </si>
  <si>
    <t>342.9(44) TruD d 2017</t>
  </si>
  <si>
    <t>Droit administratif / Yves Gaudemet.</t>
  </si>
  <si>
    <t>Gaudemet, Yves.</t>
  </si>
  <si>
    <t>22e ed.</t>
  </si>
  <si>
    <t>[Paris] : L.G.D.J., 2018.</t>
  </si>
  <si>
    <t>342.9(44) GauY d 2018</t>
  </si>
  <si>
    <t>Droit comparé de l'arbitrage international. English;"Comparative law of international arbitration / by Jean-François Poudret</t>
  </si>
  <si>
    <t>Sébastien Basson translated by Stephen V. Berti</t>
  </si>
  <si>
    <t>2nd ed. updated and reviewed.</t>
  </si>
  <si>
    <t>London : Sweet &amp; Maxwell, 2007.</t>
  </si>
  <si>
    <t>341.63 PouJ d/c 2007</t>
  </si>
  <si>
    <t>Droit de l'arbitrage interne et international / Christophe Seraglini, Jérôme Ortscheidt.</t>
  </si>
  <si>
    <t>Seraglini, Christophe.</t>
  </si>
  <si>
    <t>Paris : Montchrestien 2013.</t>
  </si>
  <si>
    <t>341.63(44) SerC d 2013</t>
  </si>
  <si>
    <t>Droit international des investissements et de l'arbitrage transnational / sous la direction de Charles Leben.</t>
  </si>
  <si>
    <t>Paris : Pedone, 2015.</t>
  </si>
  <si>
    <t>341.63:347.7 LebC d 2015</t>
  </si>
  <si>
    <t>Droit international privé / Olivier Cachard.</t>
  </si>
  <si>
    <t>Cachard, Olivier, 1973-</t>
  </si>
  <si>
    <t>Bruxelles : Bruylant, 2018.</t>
  </si>
  <si>
    <t>341.9(44) CacO d 2018</t>
  </si>
  <si>
    <t>Droit international privé des obligations contractuelles / Gwendoline Lardeux.</t>
  </si>
  <si>
    <t>Lardeux, Gwendoline.</t>
  </si>
  <si>
    <t>341.96:347.44 LarG d 2016</t>
  </si>
  <si>
    <t>Encyclopedia of private international law / edited by Jürgen Basedow, Giesela Rühl, Franco Ferrari, Pedro de Miguel Asensio.</t>
  </si>
  <si>
    <t>Cheltenham, UK : Edward Elgar Publishing, [2017]</t>
  </si>
  <si>
    <t>Enseignement et politique en France de la Révolution à nos jours / Germain Sicard.</t>
  </si>
  <si>
    <t>Sicard, Germain.</t>
  </si>
  <si>
    <t>Paris : Godefroy de Bouillon, c2010-c2011.</t>
  </si>
  <si>
    <t>37(44)(091) SicG e 2010 1</t>
  </si>
  <si>
    <t>37(44)(091) SicG e 2011 2</t>
  </si>
  <si>
    <t>Environmental human rights and climate change : current status and future prospects / Brigdet Lewis.</t>
  </si>
  <si>
    <t>Lewis, Bridget.</t>
  </si>
  <si>
    <t>Singapore : Springer, c2018.</t>
  </si>
  <si>
    <t>349.6 LewB e 2018</t>
  </si>
  <si>
    <t>Ethnicity and international law : histories, politics and practices / Mohammad Shahabuttin.</t>
  </si>
  <si>
    <t>Shahabuddin Mohammad.</t>
  </si>
  <si>
    <t>Cambridge, UK : Cambridge University Press, 2017.</t>
  </si>
  <si>
    <t>341.1/.8 ShaM e 2016</t>
  </si>
  <si>
    <t>EU tax law and policy in the 21st century / edited by Werner Haslehner, Georg Fofler, Alexander Rust.</t>
  </si>
  <si>
    <t>Alphen aan den Rijn, The Netherlands : Wolters Kluwer, 2017.</t>
  </si>
  <si>
    <t>351.71(4-672EU)(063) EUT2015 2017</t>
  </si>
  <si>
    <t>European competition law / Louis Vogel.</t>
  </si>
  <si>
    <t>Vogel, Louis.</t>
  </si>
  <si>
    <t>Paris : LawLex, 2018.</t>
  </si>
  <si>
    <t>347.776(4-672EU) VogL e 2018</t>
  </si>
  <si>
    <t>European libraries and the Internet : copyright and extended collective licences / Ran Tryggvadottir.</t>
  </si>
  <si>
    <t>Tryggvadóttir, Rán.</t>
  </si>
  <si>
    <t>Cambridge : Intersentia, 2018.</t>
  </si>
  <si>
    <t>- TryR e 2018</t>
  </si>
  <si>
    <t>European yearbook on human rights / Wolfgang Benedek, Philip Czech, Lisa Heschl, Karin Lukas and Manfred Nowak (eds).</t>
  </si>
  <si>
    <t>Antwerpen : EAP, European Academic Press, 2009.</t>
  </si>
  <si>
    <t>341.231.14 BenW e 2018</t>
  </si>
  <si>
    <t>Family and succession law in Greece / Ismene Androulidakis-Dimitriadis, Elisabeth Poulou.</t>
  </si>
  <si>
    <t>Ανδρουλιδάκη-Δημητριάδη, Ισμήνη.</t>
  </si>
  <si>
    <t>The Netherlands : Kluwer Law USA : Aspen Publishers United Kingdom : Turpin Distrivution Services, 2019.</t>
  </si>
  <si>
    <t>347.6 ΑνδΙ f 2019</t>
  </si>
  <si>
    <t>Fêtes d'Egypte ptolémaïque et romaine, d'après la documentation papyrologique grecque / par Françoise Perpillou-Thomas.</t>
  </si>
  <si>
    <t>Perpillou-Thomas, Françoise</t>
  </si>
  <si>
    <t>Lovanii : Centre National de la Recherche Scientifique, 1993.</t>
  </si>
  <si>
    <t>398.33(32) PerF f 1993</t>
  </si>
  <si>
    <t>Αίθουσα Ιστορίας, Θεωρίας και Μεθοδολογίας του Δικαίου</t>
  </si>
  <si>
    <t>Finding, freezing and attaching assets : a multi-jurisdictional handbook / edited by Jacob C. Jørgensen.</t>
  </si>
  <si>
    <t>[The Hague] : Kluwer Law International, 2016.</t>
  </si>
  <si>
    <t>- JørC f 2016</t>
  </si>
  <si>
    <t>Foreign investment and investment arbitration in Asia / Carlos Esplugues (ed.)</t>
  </si>
  <si>
    <t>Cambridge : Intersentia Uitgevers NV, 2019.</t>
  </si>
  <si>
    <t>- EspC f 2019</t>
  </si>
  <si>
    <t>Handbook on european data protection law / prepared by the EU Agency for Fundamental Rights (FRA) with the Council of Europe (together with the Registry of the European Court of Human Rights) and the European Data Protection Supervisor.</t>
  </si>
  <si>
    <t>2018 ed.</t>
  </si>
  <si>
    <t>Luxembourg : Publications Office of the European Union, 2018.</t>
  </si>
  <si>
    <t>342.721(4-672EU) ΕΕ.ΟΘΔ h 2018</t>
  </si>
  <si>
    <t>Histoire de la science grecque : de Thalès a Socrate / Robert Baccou.</t>
  </si>
  <si>
    <t>Baccou, Robert, 1906-1943.</t>
  </si>
  <si>
    <t>Paris : Aubier, 1951.</t>
  </si>
  <si>
    <t>001(38) BacR h 1951</t>
  </si>
  <si>
    <t>Human rights and criminal procedure : the case law of the European Court of Human Rights / Jeremy McBride.</t>
  </si>
  <si>
    <t>McBride, Jeremy.</t>
  </si>
  <si>
    <t>343.211.3 McBJ h 2018</t>
  </si>
  <si>
    <t>Human rights in the extractive industries : transparency, participation, resistance / Isabel Feichtner, Markus Krajewski, Ricarda Roesch, editors.</t>
  </si>
  <si>
    <t>Human Rights in the Extractive Industries (2016 : Frankfurt am Main, Germany)</t>
  </si>
  <si>
    <t>Cham, Switzerland : Springer, 2019.</t>
  </si>
  <si>
    <t>341.231.14(063) HRE2016 2019</t>
  </si>
  <si>
    <t>Human rights literacies : future directions / Cornelia Roux, Anne Becker, editors</t>
  </si>
  <si>
    <t>Switzerland : Springer, c2019.</t>
  </si>
  <si>
    <t>341.231.14 RouC h 2019</t>
  </si>
  <si>
    <t>Il governo delle citta prussiane tra '800 e '900 / Fabio Rugge.</t>
  </si>
  <si>
    <t>Rugge, Fabio.</t>
  </si>
  <si>
    <t>Milano : Giuffre Editore, 1989.</t>
  </si>
  <si>
    <t>352(430) 18 RugF g 1989</t>
  </si>
  <si>
    <t>Il mito : guida storica e critica / a cura di Marcel Detienne.</t>
  </si>
  <si>
    <t>2a ed.</t>
  </si>
  <si>
    <t>Roma Bari : Laterza, 1976.</t>
  </si>
  <si>
    <t>2-264(091) DetM m 1976</t>
  </si>
  <si>
    <t>Interest in international arbitration : an economic approach / Matthew Secomb.</t>
  </si>
  <si>
    <t>Secomb, Matthew</t>
  </si>
  <si>
    <t>Oxford New York : Oxford University Press, 2019.</t>
  </si>
  <si>
    <t>341.63 SecM i 2019</t>
  </si>
  <si>
    <t>International and national perspectives on child and family law :essays in honour of Nigel Lowe / edited by Gillian Douglas, Mervyn Murch, Victoria Stephens.</t>
  </si>
  <si>
    <t>34(082.2) LowN i 2018</t>
  </si>
  <si>
    <t>International arbitration : law and practice / Gary B. Born.</t>
  </si>
  <si>
    <t>Born, Gary, 1955-</t>
  </si>
  <si>
    <t>Alphen aan den Rijn : Kluwer, c2016.</t>
  </si>
  <si>
    <t>341.63 BorG i 2016</t>
  </si>
  <si>
    <t>International arbitration and forum selection agreements : planning, drafting, and enforcing / Gary B. Born.</t>
  </si>
  <si>
    <t>Alphen aan den Rijn : Kluwer, 2016.</t>
  </si>
  <si>
    <t>International commercial litigation : text, cases and materials on private international law Trevor C. Hartley.</t>
  </si>
  <si>
    <t>Cambridge : Cambridge University Press, 2015.</t>
  </si>
  <si>
    <t>341.96:347.7 HarT i 2015</t>
  </si>
  <si>
    <t>Αίθουσα Διεθνούς Δικαίου και Εμπορικού Δικαίου-3η ανατύπωση 2018</t>
  </si>
  <si>
    <t>International investment law / edited by Prof. Dr. Marc Bungenberg (LL. M.), Prof. Dr. Jörn Griebel (D.E.S.), Prof. Dr. Stephan Hobe (LL.M.), Prof. MMag. Dr. August Reinisch (LL.M.) Yun-I Kim (ass. ed.).</t>
  </si>
  <si>
    <t>München, Germany : C.H. BECK Oxford, United Kingdom : Hart Baden-Baden, Germany : Nomos, 2015.</t>
  </si>
  <si>
    <t>346 BunM i 2015</t>
  </si>
  <si>
    <t>International law : concetrate / Ilias Bantekas, Efthymios Papastavridis.</t>
  </si>
  <si>
    <t>Μπαντέκας, Ηλίας.</t>
  </si>
  <si>
    <t>341.1/.8 ΜπαΗ i 2017</t>
  </si>
  <si>
    <t>International law and cannabis : regulation of cannabis cultivation for recreational Useunder the UN Narcotic Drugs Conventions and the EU legal instruments in Anti-Drugs Policy / Piet Hein van Kempen, Masha Fedorova.</t>
  </si>
  <si>
    <t>Kempen, Piet Hein van.</t>
  </si>
  <si>
    <t>Cambridge, UK : Intersentia, 2019.</t>
  </si>
  <si>
    <t>Internationales Erbrecht : EuErbVO, erbrechtliche Staatsverträge, EGBGB, IntErbRVG, IntErbStR, IntSchenkungsR / herausgegeben von Anatol Dutta, Johannes Weber bearbeitet von Frank Bauer ... [et al].</t>
  </si>
  <si>
    <t>München : C.H. Beck, 2016.</t>
  </si>
  <si>
    <t>341.96:347.65/.68 DutA i 2016</t>
  </si>
  <si>
    <t>Introduction to European tax law on direct taxation / edited by Michael Lang, Pasquale Pistone, Josef Schuch, Claus Staringer.</t>
  </si>
  <si>
    <t>Wien : Spiramus, 2018.</t>
  </si>
  <si>
    <t>351.71(4-672EU) LanM i 2018</t>
  </si>
  <si>
    <t>Islamic international law : historical foundations and Al-Shaybani's Siyar / Khaled Ramadan Bashir.</t>
  </si>
  <si>
    <t>Bashir, Khaled Ramadan.</t>
  </si>
  <si>
    <t>Cheltenham, UK : Edward Elgar Publishing, [2018]</t>
  </si>
  <si>
    <t>28-74:341 KhaB i 2018</t>
  </si>
  <si>
    <t>La constitution administrative de la France / sous la direction de Jean-Jacques Bienvenu, Jacques Petit, Benoît Plessix, et Bertrand Seiller avec les contributions de Olivier Beaud ... [et al.].</t>
  </si>
  <si>
    <t>342.9(44)(063) CAF2011 2012</t>
  </si>
  <si>
    <t>La distinction du droit public et du droit privé et le conflit de lois / Clotilde Camus préface de Horatia Muir Watt.</t>
  </si>
  <si>
    <t>Camus, Clotilde.</t>
  </si>
  <si>
    <t>Issy-les-Moulineaux [France] : LGDJ, lextenso éditions, 2015.</t>
  </si>
  <si>
    <t>La Gauche réactionnaire : mythes de la plèbe et de la race dans le sillage des Lumières / Marc Crapez préface de Pierre-André Taguieff.</t>
  </si>
  <si>
    <t>Crapez, Marc, 1969-</t>
  </si>
  <si>
    <t>Paris : Berg International, c1997.</t>
  </si>
  <si>
    <t>32(44) 1870/1940 CraM g 1997</t>
  </si>
  <si>
    <t>La nature et la loi: le pluralisme juridique dans la gestion de la nature = Nature and law: legal pluralism in environmental stewardship / sous la direction de François-Xavier Ribordy.</t>
  </si>
  <si>
    <t>Sudbury, CA : Presses de l'Université Laurentienne , 1999.</t>
  </si>
  <si>
    <t>349.6(063) NL1988 1999</t>
  </si>
  <si>
    <t>Αίθουσα Θεωρίας, Ιστορίας και Φιλοσοφίας του Δικαίου</t>
  </si>
  <si>
    <t>La proximité en droit international privé de la famille / Sabrine Maya Bouyahia préface de Lotfi Chedly et Marie Goré.</t>
  </si>
  <si>
    <t>Bouyahia, Sabrine Maya.</t>
  </si>
  <si>
    <t>Paris : L'Harmattan, c2015.</t>
  </si>
  <si>
    <t>341.96:347.6 BouS p 2015</t>
  </si>
  <si>
    <t>L'agonie des Judéo-Espagnols / Haïm Vidal Séphiha.</t>
  </si>
  <si>
    <t>Séphiha, Haïm-Vidal.</t>
  </si>
  <si>
    <t>Paris : Éditions Entente, 1977.</t>
  </si>
  <si>
    <t>L'autonomie de la volonté en droit international privé : un principe universel entre libéralisme et étatisme / Christian Kohler.</t>
  </si>
  <si>
    <t>Kohler, Christian.</t>
  </si>
  <si>
    <t>La Haye : Academie de droit international de La Haye, 2013.</t>
  </si>
  <si>
    <t>L'avenir de la zone euro / édité par Sandro Gozi, Dusan Sidzanski, François Saint-Ouen.</t>
  </si>
  <si>
    <t>Genève : Impressum Centre d'impression de l'Université de Cenevè, 2019.</t>
  </si>
  <si>
    <t>339.923(4-672EU) GozS a 2019</t>
  </si>
  <si>
    <t>Law of the internal market / Louis Vogel.</t>
  </si>
  <si>
    <t>Paris : LawLex Bruxelles : Bruylant, 2017.</t>
  </si>
  <si>
    <t>347.73(4-672EU) VogL l 2017</t>
  </si>
  <si>
    <t>Αίθουσα Διεθνούς και Εμπορικού Δικαίου</t>
  </si>
  <si>
    <t>Law, public policies and complex systems : networks in action / Romain Boulet, Claire Lajaunie, Pierre Mazzega (editors)</t>
  </si>
  <si>
    <t>Cham : Springer International Publishing, 2019.</t>
  </si>
  <si>
    <t>34:004 BouR l 2019</t>
  </si>
  <si>
    <t>Le barreau de Paris dans la Grande Guerre / François Gibault préface du bâtonnier Pierre-Olivier Sur.</t>
  </si>
  <si>
    <t>Gibault, François.</t>
  </si>
  <si>
    <t>Paris : Gallimard, 2016.</t>
  </si>
  <si>
    <t>347.96(44)(092) GibF b 2016</t>
  </si>
  <si>
    <t>Le contrôle étatique des sentences arbitrales internationales / Jérémy Jourdan-Marques préface de Thomas Clay.</t>
  </si>
  <si>
    <t>Jourdan-Marques, Jérémy.</t>
  </si>
  <si>
    <t>Paris : L.G.D.J., 2017.</t>
  </si>
  <si>
    <t>341.63 JouJ c 2017</t>
  </si>
  <si>
    <t>Le droit du travail / Alain Supiot.</t>
  </si>
  <si>
    <t>7ème éd.</t>
  </si>
  <si>
    <t>Paris : Presses Universitaires de France / Humenesis, 2019.</t>
  </si>
  <si>
    <t>349.2(44) SupA d 2019</t>
  </si>
  <si>
    <t>Le régime des procédures de communications individuelles dans le système des traités des Nations Unies Relatifs aux droits de l'homme / Tina Stavrinaki préface Emmanuel Decaux.</t>
  </si>
  <si>
    <t>Σταυρινάκη, Τίνα.</t>
  </si>
  <si>
    <t>Paris : A. Pedone, 2016.</t>
  </si>
  <si>
    <t>341.231.14 ΣταΤ r 2016</t>
  </si>
  <si>
    <t>Le règlement général sur la protection des données (RGPD/GDPR) : analyse approfondie / sous la direction de Cécile de Terwangne, Karen Rosier avant-propos d'Yves Poullet.</t>
  </si>
  <si>
    <t>Bruxelles : Editions Larcier / (Collection du CRIDS), 2018.</t>
  </si>
  <si>
    <t>Le transfert de biens au décès autrement que par succession en droit international privé : le choix de la loi applicable aux institutions d'Estate planning / Esther Bendelac préface de Marie Goré.</t>
  </si>
  <si>
    <t>Bendelac, Esther.</t>
  </si>
  <si>
    <t>341.96:347.65/.68 BenE t 2016</t>
  </si>
  <si>
    <t>Legality in Europe : on the principle nullum crimen, nulla poena sine lege in EU law and under the ECHR / Mikhel Timmerman.</t>
  </si>
  <si>
    <t>Timmerman, Mikhel.</t>
  </si>
  <si>
    <t>343.211.2 TimM l 2018</t>
  </si>
  <si>
    <t>Les responsables des finances impériales au Bas-Empire romain, IVe-VIe s. : études prosopographiques / Roland Delmaire.</t>
  </si>
  <si>
    <t>Delmaire, Roland.</t>
  </si>
  <si>
    <t>Bruxelles : Latomus, 1989.</t>
  </si>
  <si>
    <t>351.72(37) DelR r 1989</t>
  </si>
  <si>
    <t>L'Etat c'était bien lui : essai sur la monarchie absolue / Bernard Vonglis.</t>
  </si>
  <si>
    <t>1ère éd.</t>
  </si>
  <si>
    <t>Paris : Cujas, 1997.</t>
  </si>
  <si>
    <t>321.61(44)(091) VonB e 1997</t>
  </si>
  <si>
    <t>L'Europe au présent ! : Liber amicorum Melchior Wathelet / Sous la coordination de Jonathan Wildemeersch et Paschalis Paschalidis.</t>
  </si>
  <si>
    <t>Belgium : Bruylant, 2018.</t>
  </si>
  <si>
    <t>34(082.2) WatM e 2018</t>
  </si>
  <si>
    <t>Life's dominion : an argument about abortion, euthanasia, and individual freedom / Ronald Dworkin</t>
  </si>
  <si>
    <t>Dworkin, Ronald.</t>
  </si>
  <si>
    <t>New York : Vintage Books, 1994.</t>
  </si>
  <si>
    <t>342.7:179.7 DwoR d 1993</t>
  </si>
  <si>
    <t>L'usufruit immobilier / Alexandra Farine Fabbro.</t>
  </si>
  <si>
    <t>Farine Fabbro, Alexandra.</t>
  </si>
  <si>
    <t>Fribourg : Editions Universi., 2000.</t>
  </si>
  <si>
    <t>347.252 FarA u 2000</t>
  </si>
  <si>
    <t>Marital captivity : divorce, religion and human rights / Susan Rutten, Benedicta Deogratias and Pauline Kruiniger (eds).</t>
  </si>
  <si>
    <t>The Hague : Eleven, 2019.</t>
  </si>
  <si>
    <t>Mélanges en l'honneur du Professeur Bernard Audit : les relations privées internationales / ouvrage réalisé à l'initiative de Louis d'Avout, Dominique Bureau, Horatia Muir-Watt.</t>
  </si>
  <si>
    <t>Issy-les-Moulineaux : LGDJ-Lextenso éditions, 2014.</t>
  </si>
  <si>
    <t>34(082.2) AudB m 2014</t>
  </si>
  <si>
    <t>New politics of decisionism / Violeta Beširevié (ed.)</t>
  </si>
  <si>
    <t>The Hague : Eleven International Publishing, c2019.</t>
  </si>
  <si>
    <t>342 BešV n 2019</t>
  </si>
  <si>
    <t>Nομοθεσία ταμειου σύνταξης &amp; επικουρικής ασφάλισης προσωπικού γεωργικών συνεταιριστικών οργανώσεων (Τ.Σ.Ε.Α.Π.Γ.Σ.Ο.) : διαδοχική ασφάλιση, νέες ασφαλιστικές ρυθμίσεις, νομολογία-πρακτική / Μαγδαληνη Μαρκατάτου-Καρατζογιάννη.</t>
  </si>
  <si>
    <t>Μαρκατάτου-Καρατζογιάννη, Μαγδαληνη.</t>
  </si>
  <si>
    <t>Αθήνα : [χ.ό.], 2004.</t>
  </si>
  <si>
    <t>349.3 ΜαρΜ ν 2004</t>
  </si>
  <si>
    <t>Open data exposed / Bastiaan van Loenen, Glen Vancauwenberghe, Joep Crompvoets.</t>
  </si>
  <si>
    <t>The Hague : T.M.C. Asser Press, 2018.</t>
  </si>
  <si>
    <t>34:004 VanLB o 2018</t>
  </si>
  <si>
    <t>Peoples' tribunals and international law / edited by Andrew Byrnes and Gabrielle Simm.</t>
  </si>
  <si>
    <t>Cambridge, UK NY : Cambridge University Press, 2018.</t>
  </si>
  <si>
    <t>Procedural environmental rights : Principle X in theory and practice / edited by Jerzy Jendrośka, Magdalena Bar.</t>
  </si>
  <si>
    <t>Cambridge Antwerp Portland : Intersentia, 2017.</t>
  </si>
  <si>
    <t>Procedural issues in international investment arbitration / Jeffery Commission, Rahim Moloo.</t>
  </si>
  <si>
    <t>Commission, Jeffery.</t>
  </si>
  <si>
    <t>341.63:347.7 ComJ p 2018</t>
  </si>
  <si>
    <t>Public international law and human rights violations by private military and security companies / Helena Torroja (editor)</t>
  </si>
  <si>
    <t>Cham, Switzerland : Springer, 2017.</t>
  </si>
  <si>
    <t>Quel avenir pour la théorie générale des conflits de lois? : droit européen, droit conventionnel, droit commun / sous la direction de Tristan Azzi et Olivera Boskovic.</t>
  </si>
  <si>
    <t>Bruxelles : Bruylant, c2015.</t>
  </si>
  <si>
    <t>341.9(063) QAP2014 2015</t>
  </si>
  <si>
    <t>Redfern and Hunter on international arbitration / Nigel Blackaby, Constantine Partasides, QC with Alan Redfern, Martin Hunter.</t>
  </si>
  <si>
    <t>Blackaby, Nigel, συγγραφέας.</t>
  </si>
  <si>
    <t>Sixth edition</t>
  </si>
  <si>
    <t>Oxford, United Kingdom New York, NY Oxford University Press, 2015.</t>
  </si>
  <si>
    <t>341.63:347.7 RedA r 2015</t>
  </si>
  <si>
    <t>Research handbook on remote warfare / edited by Jens David Ohlin.</t>
  </si>
  <si>
    <t>Cheltenham, UK : Edward Elgar Publishing, 2019.</t>
  </si>
  <si>
    <t>Research handbook on transitional justice / edited by Cheryl Lawther ... [et all].</t>
  </si>
  <si>
    <t>Cheltenham, UK Northampton, USA : E. Elgar, 2017.</t>
  </si>
  <si>
    <t>341.4 LawC r 2017</t>
  </si>
  <si>
    <t>Revisiting unity and diversity in federal countries : changing concepts, reform proposals and new institutional realities / edited by Alain-G Gagnon, Michael Burgess.</t>
  </si>
  <si>
    <t>Revisiting Unity and Diversity in Federal Countries (2015 : Montréal, Québec)</t>
  </si>
  <si>
    <t>Leiden Boston : Brill Nijhoff, 2018.</t>
  </si>
  <si>
    <t>Schädliche traditionelle und kulturelle Praktiken im internationalen und regionalen Menschenrechtsschutz / Romy Klimke.</t>
  </si>
  <si>
    <t>Klimke, Romy.</t>
  </si>
  <si>
    <t>Berlin, Heidelberg : Springer, 2019.</t>
  </si>
  <si>
    <t>Situation selection regime at the International Criminal Court : law, policy, practice / Mohammad Hadi Zakerhossein.</t>
  </si>
  <si>
    <t>Zakerhossein, Mohammad Hadi.</t>
  </si>
  <si>
    <t>341.645 ZakM s 2017</t>
  </si>
  <si>
    <t>Sovereignty and territorial temptation : the Grotian tendency / Christopher R. Rossi.</t>
  </si>
  <si>
    <t>Rossi, Christopher R.</t>
  </si>
  <si>
    <t>Cambridge New York : Cambridge University Press, 2018.</t>
  </si>
  <si>
    <t>341.218 RosC s 2018</t>
  </si>
  <si>
    <t>Storia della magistratura italiana / Antonella Meniconi.</t>
  </si>
  <si>
    <t>Meniconi, Antonella.</t>
  </si>
  <si>
    <t>Bologna : Il Mulino, c2012.</t>
  </si>
  <si>
    <t>351.87(450)(091) MenA s 2012</t>
  </si>
  <si>
    <t>The 1958 New York Convention in action / Marike Paulsson.</t>
  </si>
  <si>
    <t>Paulsson, Marike.</t>
  </si>
  <si>
    <t>Alphen aan den Rijn, The Netherlands : Kluwer Law International B.V., 2016.</t>
  </si>
  <si>
    <t>The changing constitution / edited by Jeffrey Jowell, Dawn Oliver, Colm O'Cinneide.</t>
  </si>
  <si>
    <t>Oxford, United Kingdom New York, NY : Oxford University Press, 2015.</t>
  </si>
  <si>
    <t>342(410) JowJ c 2015</t>
  </si>
  <si>
    <t>The code of the Court of Arbitration for Sport : commentary, cases and materials / Despina Mavromati, Matthieu Reeb.</t>
  </si>
  <si>
    <t>Mavromati, Despoina.</t>
  </si>
  <si>
    <t>Alphen aan den Rijn, The Netherlands : Kluwer Law International, 2015.</t>
  </si>
  <si>
    <t>341.645 MavD c 2015</t>
  </si>
  <si>
    <t>The conflict of laws / originally by the late J. H. C. Morris.</t>
  </si>
  <si>
    <t>Morris, John Humphrey Carlile.</t>
  </si>
  <si>
    <t>London : Sweet &amp; Maxwell/Thomson Reuters, 2016.</t>
  </si>
  <si>
    <t>341.9(410) MorJ c 2016</t>
  </si>
  <si>
    <t>The constitutional systems of Central-Eastern, Baltic and Balkan Europe / Angela Di Gregorio (Ed.)</t>
  </si>
  <si>
    <t>Utrecht : Eleven International, 2019.</t>
  </si>
  <si>
    <t>The effectiveness and application of EU and EEA law in national courts : principles of consistent interpretation / edited by Christian N. K. Franklin.</t>
  </si>
  <si>
    <t>The EU Bill of Rights' diagonal application to member states : comparative perspectives of Europe's human rights deficit / Csongor István Nagy (ed.).</t>
  </si>
  <si>
    <t>The Hague : Eleven International Publishing, 2018.</t>
  </si>
  <si>
    <t>341.231.14(4-672EU) NagC e 2018</t>
  </si>
  <si>
    <t>The ICSID convention : a commentary : a commentary on the Convention on the settlement of investment disputes between states and nationals of other states / Christoph H. Schreuer ... [et al.].</t>
  </si>
  <si>
    <t>Schreuer, Christoph, συγγραφέας.</t>
  </si>
  <si>
    <t>Cambridge [England] New York : Cambridge University Press, 2009.</t>
  </si>
  <si>
    <t>341.63:347.7 SchC i 2009</t>
  </si>
  <si>
    <t>The international law of investment claims / Zachary Douglas.</t>
  </si>
  <si>
    <t>Douglas, Zachary.</t>
  </si>
  <si>
    <t>Cambridge : Cambridge University Press, 2009.</t>
  </si>
  <si>
    <t>346 DouZ i 2009</t>
  </si>
  <si>
    <t>The platform economy : unravelling the legal status of online intermediaries / Bram Devolver (ed.)</t>
  </si>
  <si>
    <t>34:004.738.5:339 DevB p 2019</t>
  </si>
  <si>
    <t>The principles and practice of international commercial arbitration/ Margaret L. Moses, Loyola University Chicago School of Law.</t>
  </si>
  <si>
    <t>Moses, Margaret L., author</t>
  </si>
  <si>
    <t>Third edition</t>
  </si>
  <si>
    <t>Cambridge, United Kingdom: Cambridge University Press, [2017].</t>
  </si>
  <si>
    <t>341.63:347.7 MosM p 2017</t>
  </si>
  <si>
    <t>The UNCITRAL arbitration rules : a commentary : (with an integrated and comparative discussion of the 2010 and 1976 UNCITRAL arbitration rules) / David D. Caron, Lee M. Caplan.</t>
  </si>
  <si>
    <t>Caron, David D.</t>
  </si>
  <si>
    <t>Oxford, United Kingdom : Oxford University Press, 2013.</t>
  </si>
  <si>
    <t>341.63:347.7 CarD u 2013</t>
  </si>
  <si>
    <t>The use of force and international law : jus ad Bellum, jus in bello, jus post bellum / Sergey Sayapin, Evhen Tsybulenko [editors].</t>
  </si>
  <si>
    <t>The Hagu : Asser press, c2018.</t>
  </si>
  <si>
    <t>341.3 SayS u 2018</t>
  </si>
  <si>
    <t>Trans-Atlantic data privacy relations as a challenge for democracy / edited by Dan Jerker B. Svantesson, Dariusz Kloza.</t>
  </si>
  <si>
    <t>Cambridge [England] Antwerp [Belgium] Portland [Oregon] : Intersentia, 2017.</t>
  </si>
  <si>
    <t>UNCITRAL arbitration / Jan Paulsson and Georgios Petrochilos.</t>
  </si>
  <si>
    <t>Paulsson, Jan.</t>
  </si>
  <si>
    <t>Alphen aan den Rijn : Kluwer Law International, [2018]</t>
  </si>
  <si>
    <t>341.63:347.7 PauJ u 2018</t>
  </si>
  <si>
    <t>Unexpected circumstances and carriage of goods by sea: theoretical and jurisprudential approach of the Anglo-American and the Greek law position Λουκάς Ι. Ζυγούρος.</t>
  </si>
  <si>
    <t>Ζυγούρος, Λουκάς Ι.</t>
  </si>
  <si>
    <t>Αθήνα : Νομική Βιβλιοθήκη, 2019</t>
  </si>
  <si>
    <t>347.795.3 ΖυγΛ u 2019</t>
  </si>
  <si>
    <t>Wege zur Rechtsgeschichte : Gerichtsbarkeit und Verfahren / Peter Oestmann.</t>
  </si>
  <si>
    <t>Oestmann, Peter.</t>
  </si>
  <si>
    <t>Köln Weimar Wien : Böhlau, 2015.</t>
  </si>
  <si>
    <t>34(430)(091) OesP w 2015</t>
  </si>
  <si>
    <t>Women and minority rights law in Africa : reimagining equality and addressing discrimination: / Michael Addaney (ed.)</t>
  </si>
  <si>
    <t>341.231.14-055.2(6)‬ AddM w 2019</t>
  </si>
  <si>
    <t>Ziele und Grundsätze der Raumordnung : eine rechtstheoretische Untersuchung zur Abgrenzung und Abgrenzbarkeit / Michael Snowadsky.</t>
  </si>
  <si>
    <t>Snowadsky, Michael.</t>
  </si>
  <si>
    <t>Baden Baden : Nomos, 2016.</t>
  </si>
  <si>
    <t>349.44 SnoM z 2016</t>
  </si>
  <si>
    <t>Α) Κωδικοποίησις της ισχύουσης φορολογίας κληρονομιών, δωρεών, προικών και κερδών εκ λαχείων Ν. 1641/1919 : ανάλυσις κατ'άρθρον - διοικητικαί λύσεις και διαταγαί υπουργείου οικονομικών - νομολογία Συμβουλίου Επικρατείας, Ελεγκτικού Συνεδρίου και φορολογικών δικαστηρίων : Β) Διοικητική εποπτεία επί κηδεμόνων σχολάζουσων κληρονομιών Β. Δ. 18/9/1947 / Θεόδωρο</t>
  </si>
  <si>
    <t>Ρωμνιός, Θεόδωρος Δ.</t>
  </si>
  <si>
    <t>Αθήνα : [χ.ό.], 1967.</t>
  </si>
  <si>
    <t>351.71(495) ΚΩΔ ΡωμΘ κ 1967</t>
  </si>
  <si>
    <t>Αμοιβαί δικηγόρων : (Νομοοθεσία - νομολογία - ερμηνευτικαί σημειώσεις - αναλυτικόν αλφαβητικόν ευρετήριον αμοιβών - πίνακες δικαστικών δαπανημάτων) / Σπυρ. Γ. Λιμούρη, Κων. Π. Οικονομόπουλου.</t>
  </si>
  <si>
    <t>Λιμούρης, Σπυρίδων Γ.</t>
  </si>
  <si>
    <t>Αθήναι : [χ.ό.], 1958.</t>
  </si>
  <si>
    <t>347.96 ΛιμΣ α 1958</t>
  </si>
  <si>
    <t>Απεργία : έννοια και σκοπός, διαδικασία κήρυξης, απεργία νόμιμη, απεργία παράνομη και καταχρηστική, στάση εργασίας, απεργία δημοσίων υπαλλήλων / Σωκράτη Γ. Λεκέα ; με τη συνεργασία Π. Βαφειάδου, Κ. Κυπρούλη.</t>
  </si>
  <si>
    <t>Λεκέας, Σωκράτης Γ.</t>
  </si>
  <si>
    <t>Αθήνα : Νομική Βιβλιοθήκη, 2002.</t>
  </si>
  <si>
    <t>349.215 ΛεκΣ α 2002</t>
  </si>
  <si>
    <t>Αποσβεστικαί παραγραφαί και προθεσμίαι : αστικού-εμπορικού-ποινικού δικαίου / Γεωργ. Σ. Κώνστα.</t>
  </si>
  <si>
    <t>Κώνστας, Γεώργιος Σ.</t>
  </si>
  <si>
    <t>2η έκδ., επηυξ. και βελτ.</t>
  </si>
  <si>
    <t>Αθήναι ; Θεσ/νίκη : Αφοί Π. Σάκκουλα, 1963.</t>
  </si>
  <si>
    <t>347.143 ΚωνΓ α 1963</t>
  </si>
  <si>
    <t>Αρμοδιότητες πολιτικών δικαστηρίων / Αγγελική Σ. Δανηλάτου επιμέλεια: Ιωάννης Χαμηλοθώρης.</t>
  </si>
  <si>
    <t>Δανηλάτου, Αγγελική.</t>
  </si>
  <si>
    <t>347.9(495) ΔανΑ α 2017</t>
  </si>
  <si>
    <t>Αίθουσα Αστικού και Αστικού Δικονομικού Δικαίοιυ</t>
  </si>
  <si>
    <t>Ασφαλιστική μεταρρύθμιση &amp; νομικά επαγγέλματα / Ανδρέας Π. Κουτσόλαμπρος πρόλογος Χ. Τσιλιώτης.</t>
  </si>
  <si>
    <t>349.3 ΚουΑ α 2017</t>
  </si>
  <si>
    <t>Αίθουσα ποινικού δικαίου και εργατικού δικαίου</t>
  </si>
  <si>
    <t>Διαδικασία εργατικών διαφορών : στοιχεία και περιεχόμενο αγωγής, ενστάσεις, απόδειξη, προθεσμίες, ένδικα μέσα, δεδικασμένο: εισαγωγή, μελέτες, νομολογία [ετών 1980-2001], νομοθεσία, υποδείγματα / Σωκράτη Γ. Λεκέα ; με την συνεργασία Π. Βαφειάδου, Κ. Κυπρούλη.</t>
  </si>
  <si>
    <t>[Αθήνα] : Νομική Βιβλιοθήκη, 2003.</t>
  </si>
  <si>
    <t>349.22 ΛεκΣ δ 2003</t>
  </si>
  <si>
    <t>Δίκαιον των διοικητικών διαφορών : αρμοδιότης και διαδικασία των διοικητικών δικαστηρίων ένδικα μέσα ενώπιον του Συμβουλίου Επικρατείας / Μιχ. Δ. Στασινόπουλου.</t>
  </si>
  <si>
    <t>Στασινόπουλος, Μιχάλης Δ., 1903-2002</t>
  </si>
  <si>
    <t>3η έκδ. επαύξ.</t>
  </si>
  <si>
    <t>Αθήνα : [χ.ό.], 1960.</t>
  </si>
  <si>
    <t>351.95 ΣταΜ δ 1960</t>
  </si>
  <si>
    <t>Δίκαιον των διοικητικών πράξεων / Μιχ. Δ. Στασινόπουλου.</t>
  </si>
  <si>
    <t>Στασινόπουλος, Μιχάλης Δ., 1903-2002.</t>
  </si>
  <si>
    <t>Αθήναι : [χ. ό.], 1951.</t>
  </si>
  <si>
    <t>342.924 ΣταΜ δ 1951</t>
  </si>
  <si>
    <t>Δύο φορές κατηγορούμενος ή δικαστήρια / Λουκιανού Σαμοσατέως επιμέλεια - απόδοση - σχόλια Ελευθέριος Αγγ. Βουρβάχης.</t>
  </si>
  <si>
    <t>Λουκιανός, ο Σαμοσατεύς, 2ος αι. μ.Χ.</t>
  </si>
  <si>
    <t>Αθήνα : Δωδώνη, 1998.</t>
  </si>
  <si>
    <t>821.14`02 Λουκ δ 1998</t>
  </si>
  <si>
    <t>Εγχειρίδιο σχετικά με την ευρωπαϊκή νομοθεσία για την προστασία των προσωπικών δεδομένων / Οργανισμός Θεμελιωδών Δικαιωμάτων της Ευρωπαϊκής ΄Ενωσης, Συμβούλιο της Ευρώπης, Ευρωπαϊκό Δικαστήριο Ανθρωπίνων Δικαιωμάτων.</t>
  </si>
  <si>
    <t>Λουξεμβούργο : Υπηρεσία Εκδόσεων της Ευρωπαϊκής Ένωσης, 2014.</t>
  </si>
  <si>
    <t>342.721(4-672EU) ΕΕ.ΟΘΔ ε 2014</t>
  </si>
  <si>
    <t>Εγχειρίδιον περί των κωλυμάτων του γάμου : κατά το ισχύον εν Ελλάδι Δίκαιον / Παναγιώτου Ι. Παναγιωτάκου.</t>
  </si>
  <si>
    <t>Παναγιωτάκος, Παναγιώτης Ι.</t>
  </si>
  <si>
    <t>Αθήνα, 1959.</t>
  </si>
  <si>
    <t>347.62 ΠανΠ ε 1959</t>
  </si>
  <si>
    <t>Ελληνική νομαρχία : το παραστατικόν της μυστικής προεπαναστατικής και πατριωτικής δράσεώς του / εισαγωγή, επιμέλεια, επιλογή κειμένων Ν. Δ. Πετσιάβα.</t>
  </si>
  <si>
    <t>Εν Βόλω : Βιβλιοπωλείον Λιαναρίδη, 2018.</t>
  </si>
  <si>
    <t>94(495) ΠετΝ ε 2018</t>
  </si>
  <si>
    <t>Εργατικό ατύχημα : εισαγωγή, μελέτες, νομολογία [ετών 1980-2001], νομοθεσία, υποδείγματα / Σωκράτη Γ. Λεκέα ; με τη συνεργασία Π. Βαφειάδου, Κ. Κυπρούλη.</t>
  </si>
  <si>
    <t>349.24 ΛεκΣ ε 2002</t>
  </si>
  <si>
    <t>Η νέα νομοθεσία περί γενικής εκπαιδεύσεως : Ν. 309/30-4-1976 : μετά σχολίων και ερμηνείας / Ιωάν. Β. Χρυσικόπουλου.</t>
  </si>
  <si>
    <t>Χρυσικόπουλος, Ιωάννης Β.</t>
  </si>
  <si>
    <t>Αθήναι : Αντ. Ν. Σάκκουλας, 1976.</t>
  </si>
  <si>
    <t>34:37(495)(094.5) ΧρυΙ ν 1976</t>
  </si>
  <si>
    <t>Η νομική αναγνώριση της ταυτότητας φύλου / Σίσσυ-Σπυριδούλα Π. Τσίρου.</t>
  </si>
  <si>
    <t>Τσίρου, Σίσσυ-Σπυριδούλα Π.</t>
  </si>
  <si>
    <t>347.156 ΤσιΣ ν 2019</t>
  </si>
  <si>
    <t>Ιατρική ευθύνη : νομικές και δεοντολογικές παράμετροι / Αριστοτέλης Ι. Χαραλαμπάκης.</t>
  </si>
  <si>
    <t>Χαραλαμπάκης, Αριστοτέλης Ι,</t>
  </si>
  <si>
    <t>Αθήνα : Π. Ν. Σάκκουλας, 2016.</t>
  </si>
  <si>
    <t>347.56:614.25 ΧαρΑ ι 2016</t>
  </si>
  <si>
    <t>Ιθαγένεια και ανθρώπινα δικαιώματα / Χρήστος - Εμμανουήλ Δ. Τράγκας, πρόλογος: Χρυσάφω Σπ. Τσούκα.</t>
  </si>
  <si>
    <t>Τράγκας, Χρήστος - Εμμανουήλ Δ.</t>
  </si>
  <si>
    <t>341.215.4 ΤραΧ ι 2019</t>
  </si>
  <si>
    <t>Καταγγελία συμβάσεως εργασίας : εισαγωγή, μελέτες, νομολογία [ετών 1980-2000], νομοθεσία, υποδείγματα / Σωκράτη Γ. Λεκέα ; με τη συνεργασία Π. Βαφειάδου, Σ. Χατζηλογίου.</t>
  </si>
  <si>
    <t>349.25 ΛεκΣ κ 2002</t>
  </si>
  <si>
    <t>Κώδικας πολιτικής δικονομίας : ερμηνεία κατ' άρθρο / Χαρούλα Απαλαγάκη.</t>
  </si>
  <si>
    <t>Απαλαγάκη, Χαρίκλεια Α.</t>
  </si>
  <si>
    <t>Αθήνα : Νομική Βιβλιοθήκη, 2019-</t>
  </si>
  <si>
    <t>347.9(495) ΑπαΧ κ 2019 1</t>
  </si>
  <si>
    <t>Κώδιξ φορολογικής δικονομίας / Ιωάν. Μπούρνου, Αλεξ. Αμπλιανίτη.</t>
  </si>
  <si>
    <t>Μπούρνος, Ιωάννης.</t>
  </si>
  <si>
    <t>Αθήναι, 1961.</t>
  </si>
  <si>
    <t>351.95(495)(094.5) ΜποΙ κ 1961</t>
  </si>
  <si>
    <t>Μελέτες δημοσίου διεθνούς δικαίου : η σύμβαση-πλαίσιο του Συμβουλίου της Ευρώπης για τις εθνικές μειονότητες και η προσχώρηση της Ελλάδας, οι διμερείς πολιτιστικές συμφωνίες της Ελλάδας, η αποστρατιωτικοποίηση των νησιών του Ανατολικού Αιγαίου, οι στοχευμένοι φόνοι (targeted killings), ο πόλεμος κατά της τρομοκρατίας και το διεθνές δίκαιο / Αντώνης Μπρε</t>
  </si>
  <si>
    <t>Μπρεδήμας, Αντώνης.</t>
  </si>
  <si>
    <t>Αθήνα Θεσσαλονίκη : Εκδόσεις Σάκκουλα, 2019.</t>
  </si>
  <si>
    <t>341.1/.8 ΜπρΑ μ 2019</t>
  </si>
  <si>
    <t>Νομοθεσία δημοσίων έργων / Κώστα Γ. Βασιλείου.</t>
  </si>
  <si>
    <t>Βασιλείου, Κώστας Γ.</t>
  </si>
  <si>
    <t>Αθήνα, 1986.</t>
  </si>
  <si>
    <t>351.712(495)(094.5) ΒασΚ ν 1986</t>
  </si>
  <si>
    <t>Νομοθεσία δημοσίων έργων / Νικολάου Α. Ζεάκη.</t>
  </si>
  <si>
    <t>Ζεάκης, Νικόλαος Α.</t>
  </si>
  <si>
    <t>Αθήνα, 1977.</t>
  </si>
  <si>
    <t>351.712(495)(094.5) ΖεαΝ ν 1977</t>
  </si>
  <si>
    <t>Νομοθεσία περί εκλογής βουλευτών.</t>
  </si>
  <si>
    <t>Ελλάδα. Υπουργείο Εσωτερικών. Διεύθυνσις Εκλογών.</t>
  </si>
  <si>
    <t>Εν Αθήναις : Εκ του Εθνικού Τυπογραφείου, 1964.</t>
  </si>
  <si>
    <t>342.534(495) ΥΕ.ΔΕ ν 1964</t>
  </si>
  <si>
    <t>Νομολογία του Συμβουλίου Επικρατείας - Γνωμοδοτήσεις Ν.Σ. Κράτους : φορολογικά και τελωνειακά θέματα ετών 1990-1995 / Γρηγόριος Αντ. Κρόμπας συνεργασία Δημήτρη Φαρμάκη.</t>
  </si>
  <si>
    <t>Κρόμπας, Γρηγόριος Α.</t>
  </si>
  <si>
    <t>Αθήνα, 1996.</t>
  </si>
  <si>
    <t>351.95(495)(094.9) ΚροΓ ν 1996</t>
  </si>
  <si>
    <t>Οι συνεταιρισμοί : οικοδομικοί, αστικοί &amp; αγροτικές συνεταιριστικές οργανώσεις (Α.Σ.Ο): θεωρία - νομολογία - νομοθεσία - υποδείγματα / Βασίλη Τσούμα.</t>
  </si>
  <si>
    <t>Τσούμας, Βασίλειος Ι.</t>
  </si>
  <si>
    <t>Αθήνα : Νομική Βιβλιοθήκη, 2005.</t>
  </si>
  <si>
    <t>347.726(495) ΤσοΒ σ 2005</t>
  </si>
  <si>
    <t>Ποινικόν δικονομικόν δίκαιον / κατά τας παραδόσεις του Κωνστ. Α. Βασιλείου.</t>
  </si>
  <si>
    <t>Βασιλείου, Κωνσταντίνος Α., 1876-1918.</t>
  </si>
  <si>
    <t>Εν Αθήναις : Β. Κομπουγιάς, 1914.</t>
  </si>
  <si>
    <t>343.1(495) Βασκ π 1914</t>
  </si>
  <si>
    <t>Αίθουσα Ποινικού Δικαίου και Εργατικού</t>
  </si>
  <si>
    <t>Πολιτικές της καθημερινότητας : σύνορο, σώμα και ιδιότητα του πολίτη στην Ελλάδα / Ευθύμιος Παπαταξιάρχης, επιμέλεια.</t>
  </si>
  <si>
    <t>Αθήνα : Αλεξάνδρεια, 2014.</t>
  </si>
  <si>
    <t>Πολιτική δικονομία / επιμ.: Νότα Κατσιρούμπα, εποπτεία: Κώστας Μπέης.</t>
  </si>
  <si>
    <t>Αθήνα : Αφοι Π. Σάκκουλα, 1981.</t>
  </si>
  <si>
    <t>347.9(495)(094.5) ΚατΝ π 1981 1</t>
  </si>
  <si>
    <t>347.9(495)(094.5) ΚατΝ π 1981 2</t>
  </si>
  <si>
    <t>Στοιχεία δημοσίου λογιστικού και φορολογικού δικαίου : θέματα ειδικού διοικητικού δικαίου / Μιχ. Δ. Στασινόπουλου.</t>
  </si>
  <si>
    <t>Αθήναι : [χ.ό.], 1960.</t>
  </si>
  <si>
    <t>351.72 ΣταΜ σ 1960</t>
  </si>
  <si>
    <t>Συλλογή νομολογίας του Συμβουλίου της Επικρατείας : (φορολογικά και τελωνειακά θέματα ετών 1980-1990) / Γρηγορίου Αντ. Κρόμπα ; συνεργασία Ανδρέα Παν. Γραμματικού.</t>
  </si>
  <si>
    <t>Αθήνα, 1992.</t>
  </si>
  <si>
    <t>351.95(495)(094.9) ΚροΓ σ 1992</t>
  </si>
  <si>
    <t>Συλλογικές συμβάσεις εργασίας : διακρίσεις Σ.Σ.Ε., διαδικασία κατάρτισης Σ.Σ.Ε., ισχύς και δεσμευτικότητα Σ.Σ.Ε., επέκταση Σ.Σ.Ε., συλλογικές διαφορές εργασίας-διαιτησία / Σωκράτη Γ. Λεκέα ; με τη συνεργασία Π. Βαφειάδου, Κ. Κυπρούλη.</t>
  </si>
  <si>
    <t>349.213 ΛεκΣ σ 2002</t>
  </si>
  <si>
    <t>Αίθουσ Ποινικού Δικαίου και Εργατικού Δικαίου</t>
  </si>
  <si>
    <t>Σύμβαση εργασίας : εισαγωγή, μελέτες, νομολογία [ετών 1980-2000], νομοθεσία, υποδείγματα / Σωκράτη Γ. Λεκέα ; με τη συνεργασία Π. Βαφειάδου, Σ. Χατζηλογίου.</t>
  </si>
  <si>
    <t>349.22 ΛεκΣ σ 2002 1α</t>
  </si>
  <si>
    <t>Ταμείο Παρακαταθηκών και Δανείων : 100 χρόνια προσφοράς στην εθνική οικονομία και στην ελληνική κοινωνία : η διαδρομή ενός αιώνα... / επιστημονική επιμέλεια Μαρία Ανεμοδουρά επιμέλεια έκδοσης Γιώτα Στάθη, Δέσποινα Κανιού.</t>
  </si>
  <si>
    <t>Αθήνα : Ταμείο Παρακαταθηκών και Δανείων, 2019.</t>
  </si>
  <si>
    <t>336.733(495) ΤΠΔ 2019</t>
  </si>
  <si>
    <t>Το ανορθολογικό μας σύνταγμα : γιατί απέτυχαν οι πολιτικοί θεσμοί / Ξενοφών Ι. Κοντιάδης.</t>
  </si>
  <si>
    <t>Αθήνα : Παπαζήσης, 2015.</t>
  </si>
  <si>
    <t>Το Σύνταγμα και ο νομικος ρεαλισμός / Michel Troper εισαγωγή-μετάφραση Γιώργος Ν. Καραβοκύρης.</t>
  </si>
  <si>
    <t>Troper, Michel, 1938-</t>
  </si>
  <si>
    <t>Το Σύνταγμα του 1975 : εισαγωγή - χρονολογικός πίνακας - συντακτικές πράξεις - ψηφίσματα - Σύνταγμα - κανονισμός της Βουλής - βιβλιογραφία - ευρετήρια / Αριστ. I. Μάνεση, Γ. Παπαδημητρίου.</t>
  </si>
  <si>
    <t>Μάνεσης, Αριστόβουλος Ι., 1922-2000.</t>
  </si>
  <si>
    <t>Αθήνα : Αντ. Ν. Σάκκουλας, 1981.</t>
  </si>
  <si>
    <t>342.4(495)(094.5) ΜανΑ σ 1981</t>
  </si>
  <si>
    <t>Υγιεινή &amp; ασφάλεια των εργαζομένων : &amp; άλλα ειδικά θέματα: κατάχρηση δικαιώματος, επίσχεση εργασίας, άδειες-επιδόματα εργαζομένων, εργάτες-τεχνίτες, στρατευμένοι-οικιακοί βοηθοί, οικοδόμοι-εργασία ΠοινΔ / Σωκράτη Γ. Λεκέα, Π. Βαφειάδου, Κ. Κυπρούλη.</t>
  </si>
  <si>
    <t>349.24 ΛεκΣ υ 2002</t>
  </si>
  <si>
    <t>Φορολογικόν δίκαιον / Μιχαήλ Γ. Κυπραίου.</t>
  </si>
  <si>
    <t>Κυπραίος, Μιχαήλ Γ.</t>
  </si>
  <si>
    <t>Αθήναι : Ν. Αλικιώτης [19--]</t>
  </si>
  <si>
    <t>351.71 ΚυπΜ φ [19--]</t>
  </si>
  <si>
    <t>94(397.3) BenM r 1976</t>
  </si>
  <si>
    <t>341.9(031) BasJ e 2017 1-4</t>
  </si>
  <si>
    <t>341.48 KemP i 2019 1+2</t>
  </si>
  <si>
    <t>341.93 CamC d 2015</t>
  </si>
  <si>
    <t>94(=411.16) SepH a 1977</t>
  </si>
  <si>
    <t>341.96:347.15/.17 KohC a 2013</t>
  </si>
  <si>
    <t>342.721 TerC r 2018</t>
  </si>
  <si>
    <t>341.231.14-055.2 RutS m 2019</t>
  </si>
  <si>
    <t>341.6(063) PTI2013 2018</t>
  </si>
  <si>
    <t>341:502/504 JenJ p 2017</t>
  </si>
  <si>
    <t>341.231.14 TorH p 2017</t>
  </si>
  <si>
    <t>341.3 OhlJ r 2019</t>
  </si>
  <si>
    <t>341.231.14 KliR s 2019</t>
  </si>
  <si>
    <t>341.63:347.7 PauM n 2016</t>
  </si>
  <si>
    <t>342(4) DiGA c 2019</t>
  </si>
  <si>
    <t>34(4-672EU) FraC e 2018</t>
  </si>
  <si>
    <t>342.721 SvaD t 2017</t>
  </si>
  <si>
    <t>342.717 ΠαπΕ π 2014</t>
  </si>
  <si>
    <t>342.4 ΚονΞ α 2015</t>
  </si>
  <si>
    <t>342 TroM σ 2018</t>
  </si>
  <si>
    <t>341.213(063) RUD2015 2018</t>
  </si>
  <si>
    <t xml:space="preserve">9th ed. </t>
  </si>
  <si>
    <t>34(4-762EU) PeeS e 2016 1+2</t>
  </si>
  <si>
    <t>Grandes pages du droit international</t>
  </si>
  <si>
    <t>94(100) 1945/...  CalP w/δ 2010 1+2</t>
  </si>
  <si>
    <t>Overuse in the criminal justice system : on criminalization, prosecution and imprisonment = Le recours excessif au système de justice pénale : aux sanctions et poursuites pénales et à la détention / edited by P.H.P.H.M.C. van Kempen, M. Jendly.</t>
  </si>
  <si>
    <t>Cambridge, UK : Intersentia, [2019]</t>
  </si>
  <si>
    <t>343.17 KemP o 2019</t>
  </si>
  <si>
    <t>Intermediary liability and freedom of expression in the EU : from concepts to safeguards / Aleksandra Kuczerawy.</t>
  </si>
  <si>
    <t>Kuczerawy, Aleksandra.</t>
  </si>
  <si>
    <t>Cambridge : Intersentia, [2018]</t>
  </si>
  <si>
    <t>34:004.738.5(4-672EU) KucA i 2018</t>
  </si>
  <si>
    <t>Convergences and divergences between international human rights, international humanitarian and international criminal law / edited by, Paul De Hert, Stefaan Smis, Mathias Holvoet.</t>
  </si>
  <si>
    <t>341.231.14 HerP c 2019</t>
  </si>
  <si>
    <t>The legal status of intersex persons / edited by Jens M. Scherpe, Anatol Dutta, Tobias Helms.</t>
  </si>
  <si>
    <t>Cambridge [England] Antwerp Chicago : Intersentia, [2018]</t>
  </si>
  <si>
    <t>341.215.4-055.1/3(063) SchJ l 2018</t>
  </si>
  <si>
    <t>The global impact and legacy of truth commissions / edited by Jeremy Sarkin.</t>
  </si>
  <si>
    <t>341.64 SarJ g 2019</t>
  </si>
  <si>
    <t>Third-party interventions before the European Court of Human Rights : Amicus Curiae, member-state and third-party interventions/ Nicole Burli.</t>
  </si>
  <si>
    <t>Bürli, Nicole.</t>
  </si>
  <si>
    <t>Cambridge : Intersentia, 2017.</t>
  </si>
  <si>
    <t>341.645(4) BurN t 2017</t>
  </si>
  <si>
    <t>The future of registered partnerships : family recognition beyond marriage? / edited by Jens M. Scherpe, Andy Hayward.</t>
  </si>
  <si>
    <t>Cambridge Antwerp Portland : Intersentia, [2017]</t>
  </si>
  <si>
    <t>341.96:347.628(063) SchJ f 2017</t>
  </si>
  <si>
    <t>Global private international law : adjudication without frontiers / edited by Horatia Muir Watt ... [et al.].</t>
  </si>
  <si>
    <t>Cheltenham, UK Northampton, MA, USA : Edward Elgar Publishing, 2018.</t>
  </si>
  <si>
    <t>341.98 MuiH g 2019</t>
  </si>
  <si>
    <t>Free movement of patients in the EU : a patient's perspectives / Gabriella Berki.</t>
  </si>
  <si>
    <t>Berki, Gabriella.</t>
  </si>
  <si>
    <t>341.231.14(4-672EU) BerG f 2018</t>
  </si>
  <si>
    <t>Handbook on European law relating to the rights of the child / European Union Agency for Fundamental Rights, European Court of Human Rights and Council of Europe.</t>
  </si>
  <si>
    <t>Luxembourg : Publications Office of the European Union, 2015.</t>
  </si>
  <si>
    <t>341.231.14-053.2(4-672EU) ΟΘΔΕΕ h 2015</t>
  </si>
  <si>
    <t>The Limits of Criminal Law : Anglo-German Concepts and Principles / edited by Matthew Dyson and Benjamin Vogel.</t>
  </si>
  <si>
    <t>Cambridge Antwerp Chicago : Intersentia, 2018.</t>
  </si>
  <si>
    <t>343.2.01 DysM 2018</t>
  </si>
  <si>
    <t>Handbook on European law relating to access to justice / European Union Agency for Fundamental Rights, European Court of Human Rights and Council of Europe.</t>
  </si>
  <si>
    <t>Luxembourg : Publications Office of the European Union, 2016.</t>
  </si>
  <si>
    <t>341.231.14(4-672EU) ΟΘΔΕΕ h 2016</t>
  </si>
  <si>
    <t>Εγχειρίδιο σχετικά με την ευρωπαϊκή νομοθεσία για την πρόσβαση στη δικαιοσύνη / Οργανισμός Θεμελιώδων Δικαιωμάτων της Ευρωπαϊκής Ένωσης, Συμβούλιο της Ευρώπης, Ευρωπαϊκό Δικαστήριο Ανθρώπινων Δικαιωμάτων.</t>
  </si>
  <si>
    <t>Λουξεμβούργο : Υπηρεσία εκδόσεων της Ευρωπαϊκής Ένωσης, 2014.</t>
  </si>
  <si>
    <t>Εγχειρίδιο σχετικά με την ευρωπαϊκή νομοθεσία σε θέματα ασύλου, συνόρων και μεταναστευσης / Οργανισμός Θεμελιώδων Δικαιωμάτων της Ευρωπαϊκής Ένωσης, Συμβούλιο της Ευρώπης, Ευρωπαϊκό Δικαστήριο Ανθρώπινων Δικαιωμάτων.</t>
  </si>
  <si>
    <t>341.215.4-054.72(4-672EU) ΟΘΔΕΕ ε 2014</t>
  </si>
  <si>
    <t>Εγχειρίδιο σχετικά με την ευρωπαϊκή νομοθεσία κατά των διακρίσεων / Οργανισμός Θεμελιώδων Δικαιωμάτων της Ευρωπαϊκής Ένωσης, Συμβούλιο της Ευρώπης, Ευρωπαϊκό Δικαστήριο Ανθρώπινων Δικαιωμάτων.</t>
  </si>
  <si>
    <t>Λουξεμβούργο : Υπηρεσία Εκδόσεων της Ευρωπαϊκής Ένωσης, 2011.</t>
  </si>
  <si>
    <t>341.231.14(4-672EU) ΟΘΔΕΕ ε 2011</t>
  </si>
  <si>
    <t>EU personal data protection in policy and practice / Bart Custers [et al].</t>
  </si>
  <si>
    <t>Custers, Bart Herman Maria, 1976-.</t>
  </si>
  <si>
    <t>The Hague : T.M.C. Asser, 2019.</t>
  </si>
  <si>
    <t>342.721(4-672EU) CusB e 2019</t>
  </si>
  <si>
    <t>The role of the highest courts of the United States of America and South Africa, and the European Court of Justice in foreign affairs / Riaan Eksteen.</t>
  </si>
  <si>
    <t>Eksteen, Riaan.</t>
  </si>
  <si>
    <t>The Hague : T.M.C. Asser Press : Springer Berlin Heidelberg, 2019.</t>
  </si>
  <si>
    <t>341.6 EksR r 2019</t>
  </si>
  <si>
    <t>The European Convention on human rights and policing : a handbook for police officers and other law enforcement officials / Jim Murdoch, Ralph Roche.</t>
  </si>
  <si>
    <t>Murdoch, Jim.</t>
  </si>
  <si>
    <t>[Strasbourg] : Council of Europe Publishing, 2013.</t>
  </si>
  <si>
    <t>341.231.14(4) MurJ e 2013</t>
  </si>
  <si>
    <t>Judicial law-making in English and German courts : techniques and limits of statutory interpretation / Martin Brenncke.</t>
  </si>
  <si>
    <t>Brenncke, Martin, 1981-</t>
  </si>
  <si>
    <t>Cambridge Antwerp Chicago : Intersentia, [2018]</t>
  </si>
  <si>
    <t>340.132.6 BreM j 2018</t>
  </si>
  <si>
    <t>A short history of legal validity and invalidity : foundations of private and public law / Maris Köpcke.</t>
  </si>
  <si>
    <t>Köpcke, Maris.</t>
  </si>
  <si>
    <t>34(091) KopM s 2019</t>
  </si>
  <si>
    <t>Η αγωγή στη διοικητική δίκη : δικονομικά και ουσιαστικά ζητήματα : παραδεκτό της αγωγής - απόδειξη - απόφαση - αστική ευθύνη του Δημοσίου, ουσιαστικές προϋποθέσεις - νομολογία εθνικών δικαστηρίων, ΔΕΕ και ΕΔΔΑ - 30 πρακτικά θέματα με απαντήσεις / Σοφία Μητσιοπούλου επιμέλεια Δημήτρης Εμμανουηλίδης πρόλογος Θεόδωρος Φορτσάκης.</t>
  </si>
  <si>
    <t>Μητσιοπούλου, Σοφία.</t>
  </si>
  <si>
    <t>351.95 ΜητΣ α 2019</t>
  </si>
  <si>
    <t>Judicial review and strategic behaviour : an empirical case law analysis of the Belgian Constitutional Court / Josephine De Jaegere.</t>
  </si>
  <si>
    <t>De Jaegere, Josephine.</t>
  </si>
  <si>
    <t>Cambridge : Intersentia, c2019.</t>
  </si>
  <si>
    <t>342.56 DeJJ j 2019</t>
  </si>
  <si>
    <t>Between insecurity and hope: reflections on youth work with young refugees / Maria Pisani (editon-in-Chief) ... [et al].</t>
  </si>
  <si>
    <t>Strasbourg : Council of Europe Publishing, 2018.</t>
  </si>
  <si>
    <t>364.4-053.6(4-672EU) PisM b 2018</t>
  </si>
  <si>
    <t>Prison: a breeding ground for radicalisation and violent extremism?.</t>
  </si>
  <si>
    <t>343.811 ΣΕ p 2018</t>
  </si>
  <si>
    <t>Monitoring the implementation of the Lisbon Recognition Convention: the committee of the convention on the recognition of qualifications concerning higher education in the european region / UNESCO, Council of Europe.</t>
  </si>
  <si>
    <t>Strasbourg : UNESCO Council of Europe, 2019.</t>
  </si>
  <si>
    <t>378.21 UNESCO m 2019</t>
  </si>
  <si>
    <t>Αίθουσα Δημοσίου δικαίου</t>
  </si>
  <si>
    <t>A history of intellectual property in 50 objects / edited by Claudy Op den Kamp, Dan Hunter.</t>
  </si>
  <si>
    <t>Cambridge New Yor : Cambridge University Press, 2019.</t>
  </si>
  <si>
    <t>347.78 KamC h 2019</t>
  </si>
  <si>
    <t>The protection of the marine environment against alien invasive species : international law and policy responses / Nora-Phoebe-Erler.</t>
  </si>
  <si>
    <t>Erler, Nora-Phoebe.</t>
  </si>
  <si>
    <t>The Hague : Eleven International Publishing, c2018.</t>
  </si>
  <si>
    <t>341:502.51 ErlN p 2018</t>
  </si>
  <si>
    <t>European private international law and member state treaties with third states : the case od European seccession regulation / Anatol Dutta Wolfgang Wurmnest.</t>
  </si>
  <si>
    <t>Cambridge [UK] : Intersentia, 2019.</t>
  </si>
  <si>
    <t>341.9(4-672EU) DutA e 2019</t>
  </si>
  <si>
    <t>Claims for secession and federalism a comparative study with a special focus on Spain / Alberto Lopez-Basaguren, Leire Escajedo San-Epifanio, editors.</t>
  </si>
  <si>
    <t>New York, NY : Springer, 2019.</t>
  </si>
  <si>
    <t>342.24 LopA c 2019</t>
  </si>
  <si>
    <t>European Union law : text and materials / Damian Chalmers, Gareth Davies, Giorgio Monti.</t>
  </si>
  <si>
    <t>Cambridge : Cambridge University Press, 2019.</t>
  </si>
  <si>
    <t>34(4-672EU) ChaD e 2019</t>
  </si>
  <si>
    <t>Filiation and the protection of parentless children : towards a social definition of the family in Muslim jurisdictions / Nadjma Yassari, Lena-Maria Moller, Marie-Claude Najm, editors.</t>
  </si>
  <si>
    <t>The Hauge : T.M.C Asser Press, 2019.</t>
  </si>
  <si>
    <t>28-747:347.63(063) FPP2017 2019</t>
  </si>
  <si>
    <t>European labour law / edited by Taun Jaspers, Frans Pennings and Saskia Peters.</t>
  </si>
  <si>
    <t>349.2(4-672EU) JasT e 2019</t>
  </si>
  <si>
    <t>Legal foundations of EU economic governance / Antonio Estella, Universidad Carlos III de Madrid.</t>
  </si>
  <si>
    <t>Estella de Noriega, Antonio.</t>
  </si>
  <si>
    <t>347.73(4-672EU) EstA l 2018</t>
  </si>
  <si>
    <t>International insolvency law : National laws and international texts: / Elina Moustaira.</t>
  </si>
  <si>
    <t>Μουσταϊρα Ελίνα.</t>
  </si>
  <si>
    <t>Switzerland : Springer, 2019.</t>
  </si>
  <si>
    <t>341.96:347.736 ΜουΕ i 2019</t>
  </si>
  <si>
    <t>Refugees and migrants in law and policy : challenges and opportunities for global civic education / Helmut Kury and Sawomir Redo editors</t>
  </si>
  <si>
    <t>Cham, Switzerland : Springer, [2018]</t>
  </si>
  <si>
    <t>341.215.4-054.72 KurH r 2018</t>
  </si>
  <si>
    <t>International law / Carlo Focarelli.</t>
  </si>
  <si>
    <t>Focarelli, Carlo.</t>
  </si>
  <si>
    <t>Cheltenham : Edward Elgar, 2019.</t>
  </si>
  <si>
    <t>341.1/.8 FocC i 2019</t>
  </si>
  <si>
    <t>Principles of European family law regarding property, maintenance and succession rights of couples in 'de facto' unions / Katharina Boele-Woelki ... [et al]</t>
  </si>
  <si>
    <t>Boele-Woelki, Katharina.</t>
  </si>
  <si>
    <t>347.6(4-672EU) BoeK p 2019</t>
  </si>
  <si>
    <t>Private law development in context : German private law and scholarship in the 20th century / edited by Stefan Grundmann, Karl Riesenhuber.</t>
  </si>
  <si>
    <t>Cambridge Antwerp Portland : Intersentia, 2018.</t>
  </si>
  <si>
    <t>347‪(430)‬‪(091)‬«19» GruS p 2018</t>
  </si>
  <si>
    <t>Dynamics of solidarity : consequences of the 'refugee crisis' on Lesbos / Dina Siegel.</t>
  </si>
  <si>
    <t>Siegel, Dina.</t>
  </si>
  <si>
    <t>The Hague : Eleven International, 2019.</t>
  </si>
  <si>
    <t>314.151.3-054.73‪(495.82)‬ SieD d 2019</t>
  </si>
  <si>
    <t>Extraterritorial human rights obligations from an African perspective / edited by Lilian Chenwi, Takele Soboka Bulto.</t>
  </si>
  <si>
    <t>Cambridge Antwerp Portland : Intersentia, [2018]</t>
  </si>
  <si>
    <t>341.231.14 (6) CheL e 2018</t>
  </si>
  <si>
    <t>Plurality and diversity of family relations in Europe / edited by Katharina Boele-Woelki, Dieter Martiny.</t>
  </si>
  <si>
    <t>Cambridge : Intersentia Ltd, c2019.</t>
  </si>
  <si>
    <t>New challenges to international law : a view from The Hague / edited by Steven van Hoogstraten.</t>
  </si>
  <si>
    <t>Leiden Boston : Brill Nijhoff, c2018.</t>
  </si>
  <si>
    <t>341.6 HooS n 2018</t>
  </si>
  <si>
    <t>The court of arbitration for sport and its jurisprudence : an empirical inquiry into Lex sportiva / Johan Lindholm.</t>
  </si>
  <si>
    <t>Lindholm, Johan.</t>
  </si>
  <si>
    <t>The Hague : T.M.C. Asser press, 2019.</t>
  </si>
  <si>
    <t>341.645 LinJ c 2019</t>
  </si>
  <si>
    <t>Justinian's Digest 9.2.51 in the Western legal canon : roman legal thought and modern casuality concepts / Wolfgang Ernst.</t>
  </si>
  <si>
    <t>Ernst, Wolfgang.</t>
  </si>
  <si>
    <t>Cambridge: Intersentia, 2019.</t>
  </si>
  <si>
    <t>343.61(37) ErnW j 2019</t>
  </si>
  <si>
    <t>The belt and road initiative : law, economics, and politics / edited by Julien Chaisse, Jędrzej Górski.</t>
  </si>
  <si>
    <t>339.5(510) ChaJ b 2018</t>
  </si>
  <si>
    <t>International survey of family law, 2018 / edited by Margaret Brinig.</t>
  </si>
  <si>
    <t>347.6 BriM i 2018</t>
  </si>
  <si>
    <t>Theory and Practice of the European Convention on Human Rights / editors Pieter van Dijk ... [et al.].</t>
  </si>
  <si>
    <t>Antwerpen Oxfrord : Intersentia, 2018.</t>
  </si>
  <si>
    <t>341.231.14(4) DijP t 2018</t>
  </si>
  <si>
    <t>The borderlines of tort law : interactions with contract law / edited by Miquel Martin-Casals.</t>
  </si>
  <si>
    <t>347.5(4-672EU) MarM b 2019</t>
  </si>
  <si>
    <t>Space law and policy in the post-Soviet states / Natalia R. Malysheva translation of the text of laws and regulations into English by Alexander Ioannidi.</t>
  </si>
  <si>
    <t>Malysheva, Nataliia Rafaėlovna.</t>
  </si>
  <si>
    <t>341.229(47) MalN s 2018</t>
  </si>
  <si>
    <t>National trials of international crimes in Bangladesh : transitional justice as reflected in judgments / By M. Rafiqul Islam.</t>
  </si>
  <si>
    <t>Islam, M. Rafiqul, 1979-</t>
  </si>
  <si>
    <t>Leiden : Brill Nijhoff, c2019.</t>
  </si>
  <si>
    <t>341.48(549.3) IslR n 2019</t>
  </si>
  <si>
    <t>EU treaties and legislation / edited by Robert Schütze.</t>
  </si>
  <si>
    <t>Second edition.</t>
  </si>
  <si>
    <t>Cambridge, United Kingdom New York, NY : Cambridge University Press, 2018.</t>
  </si>
  <si>
    <t>34(4-672EU) SchR e 2018</t>
  </si>
  <si>
    <t>Verwaltungsrecht : ein Studienbuch / von Rolf Stober, Winfried Kluth in Zusammenarbeit mit Stefan Korte, Sven Eisenmenger.</t>
  </si>
  <si>
    <t>Stober, Rolf.</t>
  </si>
  <si>
    <t>13., neu bearbeitete Aufl.</t>
  </si>
  <si>
    <t>München: C.H. Beck, 2017-</t>
  </si>
  <si>
    <t>342.9(430) StoR v 2017 1</t>
  </si>
  <si>
    <t>Impact of the European Convention on Human Rights in states parties : selected examples</t>
  </si>
  <si>
    <t>Strasbourg Council of Europe, 2016.</t>
  </si>
  <si>
    <t>341.231.14(4) IEC 2016</t>
  </si>
  <si>
    <t>An Introduction to the European Convention on Human Rights / Martyn Bond.</t>
  </si>
  <si>
    <t>Bond, Martyn.</t>
  </si>
  <si>
    <t>341.231.14(4) BonM i 2018</t>
  </si>
  <si>
    <t>Preventing torture in Europe / Christine Bicknell, Malcolm Evans, Rod Morgan.</t>
  </si>
  <si>
    <t>Bicknell, Christine.</t>
  </si>
  <si>
    <t>341.231.14(4) BicC p 2018</t>
  </si>
  <si>
    <t>European contract law in the digital age / edited by Stefan Grundmann.</t>
  </si>
  <si>
    <t>34:004.738.5:339(4-672EU) GruS e 2018</t>
  </si>
  <si>
    <t>Verwaltungsverfahrensgesetz : Kommentar / begründet von Paul Stelkens, Heinz Joachim Bonk und Klaus Leonhardt Herausgegeben von Michael Sachs, Heribert Schmitz.</t>
  </si>
  <si>
    <t>Stelkens, Paul, 1937-</t>
  </si>
  <si>
    <t>München: C.H. Beck, 2018.</t>
  </si>
  <si>
    <t>35.077 SteP v 2018</t>
  </si>
  <si>
    <t>Human rights of asylum seekers in Italy and Hungary : influence of international and EU law on domestic actions / editors Majtényi Balázs, Gianfranco Tamburelli.</t>
  </si>
  <si>
    <t>The Hague : Eleven international Publishing Torino : Giappichelli, 2019.</t>
  </si>
  <si>
    <t>341.43 BalM h 2019</t>
  </si>
  <si>
    <t>On the European Court for Human Court for Human Rights: an insider's retrospective (1998-2016) / Boštjan M. Zupančič.</t>
  </si>
  <si>
    <t>Zupančič, Boštjan M.</t>
  </si>
  <si>
    <t>The Hague: Eleven, 2019.</t>
  </si>
  <si>
    <t>341.645(4) ZupB o 2019</t>
  </si>
  <si>
    <t>New Zealand yearbook of international law.</t>
  </si>
  <si>
    <t>Christchurch, NZ : International Law Group, School of Law, University of Canterbury, 2004-</t>
  </si>
  <si>
    <t>341 NZYIL 2017</t>
  </si>
  <si>
    <t>Regulating risk through private law / edited by Matthew Dyson.</t>
  </si>
  <si>
    <t>347.5 DysM r 2018</t>
  </si>
  <si>
    <t>Yearbook of international humanitarian law.</t>
  </si>
  <si>
    <t>The Hague, Netherlands : T.M.C. Asser Institute, 1998-</t>
  </si>
  <si>
    <t>341.33 YIHL 2017</t>
  </si>
  <si>
    <t>The Sir Hugh Laddie lectures : the first ten years / edited by Sir Robin Jacob.</t>
  </si>
  <si>
    <t>Cambridge Antwerp Chicago : Intersentia, c2019.</t>
  </si>
  <si>
    <t>34(082.2) LadH s 2019</t>
  </si>
  <si>
    <t>Digital content &amp; distance sales : new developments at EU level / edited by Ignace Claeys , Evelyne Terryn .</t>
  </si>
  <si>
    <t>Cambridge, UK Antwerp Portland : Intersentia, 2017.</t>
  </si>
  <si>
    <t>34:004.738.5:339(4-672EU) ClaI d 2017</t>
  </si>
  <si>
    <t>A conceptual analysis of european private international law : the general issues in the EU and its member states / Felix M. Wilke.</t>
  </si>
  <si>
    <t>Wilke, Felix M.</t>
  </si>
  <si>
    <t>Cambridge, UK Antwerp Chicago : Intersentia, 2019.</t>
  </si>
  <si>
    <t>341.9(4-672EU) WilF c 2019</t>
  </si>
  <si>
    <t>International criminal investigations : law and practice / Adejoké Babington-Ashaye, Aimée Comrie and Akingbolahan Adeniran (eds.).</t>
  </si>
  <si>
    <t>341.4 BabA i 2018</t>
  </si>
  <si>
    <t>Space law in the European context : national architecture, legislation and policy in France / Philippe Clerc.</t>
  </si>
  <si>
    <t>Clerc, Philippe, 1954-</t>
  </si>
  <si>
    <t>341.229(44) CleP s 2018</t>
  </si>
  <si>
    <t>Αίθουσα Διεθνούς Δικαίιου και Εμπορικού Δικαίου</t>
  </si>
  <si>
    <t>International criminal law documents / edited by Robert Cryer, University of Birmingham.</t>
  </si>
  <si>
    <t>Cambridge New York : Cambridge University Press, 2019.</t>
  </si>
  <si>
    <t>341.4(094) CryR i 2019</t>
  </si>
  <si>
    <t>Adults and children in postmodern societies : a comparative law and multidisciplinary handbook / edited by Jehanne Sosson, Geoffrey Willems, Gwendoline Motte.</t>
  </si>
  <si>
    <t>341.96:347.63 SosJ a 2019</t>
  </si>
  <si>
    <t>A practical guide to using international human rights and criminal law procedures / Connie De la Vega, Alen Mirza.</t>
  </si>
  <si>
    <t>De la Vega, Connie.</t>
  </si>
  <si>
    <t>Northampton : Edward Elgar Pub., 2019.</t>
  </si>
  <si>
    <t>341.231.14 VegC p 2019</t>
  </si>
  <si>
    <t>Resolving conflicts in the law : essays in honour of Lea Brilmayer / edited by Chiara Giorgetti, Natalia Klein.</t>
  </si>
  <si>
    <t>Leiden Boston : Brill/Nijhoff, 2019.</t>
  </si>
  <si>
    <t>34(082.2) BriL r 2019</t>
  </si>
  <si>
    <t>Αίθουσα Τιμητικών Τόμων, 1ος όροφος</t>
  </si>
  <si>
    <t>Islamic finance : between religious norms and legal practice / Wim Decock, Vincent Sagaert (eds.).</t>
  </si>
  <si>
    <t>Cambridge, UK Antwerp Chicago : Intersentia, [2019?]</t>
  </si>
  <si>
    <t>28-747:347.73 DecW i [2019?]</t>
  </si>
  <si>
    <t>Models for mediation : survey and visuals / Lenka Hora Adema, Linda Reijerkerk, Jacques de Waart.</t>
  </si>
  <si>
    <t>Hora Adema, Lenka.</t>
  </si>
  <si>
    <t>316.775.3 HorL m 2019</t>
  </si>
  <si>
    <t>Extended confiscation in criminal law : national, European and International perspectives / Malin Thunberg Schunke.</t>
  </si>
  <si>
    <t>Thunberg Schunke, Malin.</t>
  </si>
  <si>
    <t>Cambridge [England] Antwerp [Belgium] Portland [Oregon] : Intersentia, [2017]</t>
  </si>
  <si>
    <t>343.272 ThuM e 2017</t>
  </si>
  <si>
    <t>Αίθουσα Ποινικού Δικαίου και Εργατικού Δίκαιου</t>
  </si>
  <si>
    <t>Civil justice system competition in the European Union : great race of courts / Erlis Themeli</t>
  </si>
  <si>
    <t>Themeli, Erlis, 1983-</t>
  </si>
  <si>
    <t>The Hague, The Netherlands : Eleven International publishing, [2018]</t>
  </si>
  <si>
    <t>341.98(4-672EU) TheE c 2018</t>
  </si>
  <si>
    <t>De vita Caesarum, Libri VIII. Νέα Ελληνικά;"Σουητώνιος : οι βίοι των Καισάρων / εισαγωγή</t>
  </si>
  <si>
    <t>μετάφραση</t>
  </si>
  <si>
    <t>Αθήνα: Μορφωτικό Ίδρυμα Εθνικής Τραπέζης, 2011</t>
  </si>
  <si>
    <t>82-94 SueG v/σ ΠετΝ 2011 1</t>
  </si>
  <si>
    <t>Migration in the Mediterranean : mechanisms of international cooperation / edited by Francesca Ippolito, Seline Trevisanut.</t>
  </si>
  <si>
    <t>Cambridge Cambridge University Press, 2015.</t>
  </si>
  <si>
    <t>341.215.4-054.72 IpoF m 2015</t>
  </si>
  <si>
    <t>Maritime interception and the law of naval operations : a study of legal bases and legal regimes in maritime interception operations / Martin Fink.</t>
  </si>
  <si>
    <t>Fink, Martin.</t>
  </si>
  <si>
    <t>The Hague : TMC Asser Press, 2018.</t>
  </si>
  <si>
    <t>341.221.2 FinM m 2018</t>
  </si>
  <si>
    <t>Foreign investment, strategic assets and national security / Carlos Esplugues.</t>
  </si>
  <si>
    <t>Esplugues Mota, Carlos.</t>
  </si>
  <si>
    <t>346 EspC f 2018</t>
  </si>
  <si>
    <t>La représentation honorifique dans les cités grecques aux époques classique et hellénistique / Guillaume Biard.</t>
  </si>
  <si>
    <t>Biard, Guillaume.</t>
  </si>
  <si>
    <t>Athènes : École française d'Athènes, c2017.</t>
  </si>
  <si>
    <t>736.2 BiaG r 2017</t>
  </si>
  <si>
    <t>Colloquia Attica : neuere Forschungen zur Archaik, zum athenischen Recht und zur Magie / herausgegeben von Werner Riess.</t>
  </si>
  <si>
    <t>Stuttgart : Franz Steiner Verlag, 2018.</t>
  </si>
  <si>
    <t>930.85(38) RieW c 2018</t>
  </si>
  <si>
    <t>International humanitarian law : rules, controversies, and solutions to problems arising in warfare / Marco Sassòli with the assistance of Patrick S. Nagler.</t>
  </si>
  <si>
    <t>Sassòli, Marco.</t>
  </si>
  <si>
    <t>Cheltenham : Edward Elgar Publishing, 2019.</t>
  </si>
  <si>
    <t>341.33 SasM i 2019</t>
  </si>
  <si>
    <t>The advent of universal protection of human rights : Theo van Boven and the transformation of the UN role / Bertrand Ramcharan.</t>
  </si>
  <si>
    <t>Ramcharan, Bertrand.</t>
  </si>
  <si>
    <t>New York, NY : Springer Berlin Heidelberg, 2018.</t>
  </si>
  <si>
    <t>341.231.14(092) RamB a 2018</t>
  </si>
  <si>
    <t>Μεθοδολογικά ζητήματα στις κλασικές σπουδές : παλαιά προβλήματα και νέες προκλήσεις / επιμέλεια Μελίνα Ταμιωλάκη.</t>
  </si>
  <si>
    <t>80 ΤαμΜ μ 2017</t>
  </si>
  <si>
    <t>Οι τρόφιμοι της λύκαινας : συνοπτική ιστορία των Ρωμαίων και της πολιτείας τους από την ίδρυση της Ρώμης έως και την εποχή του Διοκλητιανού (753 π.Χ.-305 μ.Χ.) / Κώστας Μπουραζέλης.</t>
  </si>
  <si>
    <t>Μπουραζέλης, Κωνσταντίνος.</t>
  </si>
  <si>
    <t>Αθήνα : Μορφωτικό Ίδρυμα Εθνικής Τραπέζης, 2017.</t>
  </si>
  <si>
    <t>94(37) ΜποΚ τ 2017</t>
  </si>
  <si>
    <t>Justiciability of political questions in South Africa : a comparative analysis / Mtendeweka Owen Mhango.</t>
  </si>
  <si>
    <t>Mhango, Mtendeweka Owen.</t>
  </si>
  <si>
    <t>The Hague : Eleven International, [2019]</t>
  </si>
  <si>
    <t>342.56(6) MhaO j 2019</t>
  </si>
  <si>
    <t>The European Convention on Human Rights as an instrument of tort law / Stefan Somers.</t>
  </si>
  <si>
    <t>Somers, Stefan.</t>
  </si>
  <si>
    <t>Cambridge, UK Antwerp Chicago : Intersentia, [2018]</t>
  </si>
  <si>
    <t>341.231.14(4) SomS e 2018</t>
  </si>
  <si>
    <t>Consumer sales remedies in US and EU Comparative Perspective / Sanne Jansen</t>
  </si>
  <si>
    <t>Jansen, Sanne.</t>
  </si>
  <si>
    <t>347:366.5 JanS c 2018</t>
  </si>
  <si>
    <t>Nordic law in European context / Pia Letto-Vanamo, Ditlev Tamm, Bent Ole Gram Mortensen, editors.</t>
  </si>
  <si>
    <t>New York : Springer Berlin Heidelberg, 2018.</t>
  </si>
  <si>
    <t>34(48) LetP n 2018</t>
  </si>
  <si>
    <t>Germania Λατινικά και Νέα Ελληνικά;"Ποπλίου Κορνηλίου Τακίτου Γερμανία / Ευστράτιος Τσουρέας."</t>
  </si>
  <si>
    <t>Tacitus, Cornelius.</t>
  </si>
  <si>
    <t>Αθήνα : Παπαδήμα, 1996.</t>
  </si>
  <si>
    <t>821.124-94 TacC g ΤσοΕ 1996</t>
  </si>
  <si>
    <t>The individual application under the European Convention on Human Rights : procedural guide / Linos-Alexandre Sicilianos, Maria-Andriani Kostopoulou.</t>
  </si>
  <si>
    <t>Strasbourg : Council of Europe, 2019.</t>
  </si>
  <si>
    <t>341.231.14(4) ΣισΛ i 2019</t>
  </si>
  <si>
    <t>Casebook on European fair trial standards in administrative justice / Arman Zrvandyan.</t>
  </si>
  <si>
    <t>Zrvandyan, Arman.</t>
  </si>
  <si>
    <t>Strasbourg : Council of Europe Publishing, 2016.</t>
  </si>
  <si>
    <t>351.95(4)(094.9) ZrvA c 2019</t>
  </si>
  <si>
    <t>Queer in Europe during the Second World War / edited by Régis Schlagdenhauffen.</t>
  </si>
  <si>
    <t>Strasbourg : Council of Europe, [2018]</t>
  </si>
  <si>
    <t>316.367.7(4)(091) SchR q 2018</t>
  </si>
  <si>
    <t>Framework Convention for the Protection of National Minorities : collected texts / Council of Europe.</t>
  </si>
  <si>
    <t>Συμβούλιο της Ευρώπης.</t>
  </si>
  <si>
    <t>341.234(4) ΣE f 2018</t>
  </si>
  <si>
    <t>Αίθουσα Διεθνούς Δικαίου και Εμπορικού Δικαίουs</t>
  </si>
  <si>
    <t>Peace maintenance in Africa : Open legal issues / Giovanni Cellamare, Ivan Ingravallo editors.</t>
  </si>
  <si>
    <t>Cham : Springer, 2018.</t>
  </si>
  <si>
    <t>341.68(6) CelG p 2018</t>
  </si>
  <si>
    <t>Taming Ares : war, interstate law, and humanitarian discourse in classical Greece / By Emiliano J. Buis.</t>
  </si>
  <si>
    <t>Buis, Emiliano Jerónimo</t>
  </si>
  <si>
    <t>Leiden : Brill, 2018.</t>
  </si>
  <si>
    <t>341.3(38) BuiE t 2018</t>
  </si>
  <si>
    <t>The legacy of ad hoc tribunals in international criminal law : assessing the ICTY's and the ICTR's most significant legal accomplishments / edited by Milena Sterio, Michael P. Scharf.</t>
  </si>
  <si>
    <t>Cambridge : Cambridge Universtity Press, 2019.</t>
  </si>
  <si>
    <t>341.645.5 SteM l 2019</t>
  </si>
  <si>
    <t>Advanced introduction to private international law and procedure / Peter Hay.</t>
  </si>
  <si>
    <t>Hay, Peter, 1935-.</t>
  </si>
  <si>
    <t>Cheltenham Northampton : Edward Elgar Publishing, c2018.</t>
  </si>
  <si>
    <t>341.9 HayP a 2018</t>
  </si>
  <si>
    <t>Greek and Roman networks in the Mediterranean/ edited by Irad Malkin, Christy Constantakopoulou and Katerina Panagopoulou.</t>
  </si>
  <si>
    <t>Malkin, Irad, 1951-</t>
  </si>
  <si>
    <t>London New York: Routledge, 2011.</t>
  </si>
  <si>
    <t>327(3) MalI g 2011</t>
  </si>
  <si>
    <t>The law of ancient Athens / David D. Phillips</t>
  </si>
  <si>
    <t>Phillips, David D., 1971-</t>
  </si>
  <si>
    <t>Ann Arbor : The University of Michigan Press, 2013</t>
  </si>
  <si>
    <t>34(38)(091) PhiD l 2013</t>
  </si>
  <si>
    <t>Social dynamics under Roman rule : mobility and status change in the provinces of Achaia and Macedonia : proceedings of a conference held at the French School at Athens, 30-31 May 2014 / A.D. Rizakis, F. Camia, S. Zoumbaki (eds.)</t>
  </si>
  <si>
    <t>Conference on Social dynamics under Roman rule (2014 : Athens, Greece)</t>
  </si>
  <si>
    <t>Athens : National Hellenic Research Foundation, Institute of Historical Research, 2017.</t>
  </si>
  <si>
    <t>94(38)(37) ΜΕΛ 74 2017</t>
  </si>
  <si>
    <t>Analogies in international investmetn law and arbitration :/ Valentina Vadi.</t>
  </si>
  <si>
    <t>Vadi, Valentina.</t>
  </si>
  <si>
    <t>346 VadV a 2016</t>
  </si>
  <si>
    <t>Αίθουσα Διεθνούς και Εμπορικού δικαίου</t>
  </si>
  <si>
    <t>Preventing sexual violence as a weapon of war = Verhinderung sexueller Gewalt als Kriegswaffe = Prévenir la violence sexuelle en tant qu'arme de guerre / by Samantha J. Hope.</t>
  </si>
  <si>
    <t>Hope, Samantha J.</t>
  </si>
  <si>
    <t>Leiden Boston : Brill Nijhoff, 2019.</t>
  </si>
  <si>
    <t>341.34 HopS p 2019</t>
  </si>
  <si>
    <t>Eastern and western perspectives on surrogacy / edited by Jens M. Scherpe, Claire Fenton-Glynn, Terry Kaan.</t>
  </si>
  <si>
    <t>347.63 SchJ e 2019</t>
  </si>
  <si>
    <t>Liesbeth Lijnzaad : collected essays on international law / editors, Rene Lefeber, Roeland Böcker, Mireille Hector, David Raič.</t>
  </si>
  <si>
    <t>Lijnzaad, Liesbeth.</t>
  </si>
  <si>
    <t>The Hague : Eleven International Publishing, c2017.</t>
  </si>
  <si>
    <t>341.1/.8(081.2) LijL l c2017</t>
  </si>
  <si>
    <t>Αίθουσα Διεθνούς Δικαίου και Εμπορικού Δίκαιόυ</t>
  </si>
  <si>
    <t>347.9(410) AndN a 2019</t>
  </si>
  <si>
    <t>Using international election standards : Council of Europe handbook for civil society organisations / Council of Europe.</t>
  </si>
  <si>
    <t>342.8(4) CE u 2016</t>
  </si>
  <si>
    <t>Αιθουσα Διεθνους Δικαίου</t>
  </si>
  <si>
    <t>Virtual currencies : a legal framework / Niels Vandezande.</t>
  </si>
  <si>
    <t>Vandezande, Niels, 1985-</t>
  </si>
  <si>
    <t>Cambridge Antwerp Portland : Intersentia, c2018.</t>
  </si>
  <si>
    <t>346.58(4-672EU) VanN v 2018</t>
  </si>
  <si>
    <t>Guidelines of the Committee of Ministers of the Council of Europe on child-friendly health care / Council of Europe.</t>
  </si>
  <si>
    <t>Strasbourg : Council of Europe, c2018.</t>
  </si>
  <si>
    <t>341.231.14-053.2(4) GCM 2018</t>
  </si>
  <si>
    <t>Sport and prisons in Europe / Gaëlle Sempé.</t>
  </si>
  <si>
    <t>Sempé, Gaëlle.</t>
  </si>
  <si>
    <t>343.811(4) SemG s 2018</t>
  </si>
  <si>
    <t>Εγχειρίδιο σχετικά με την ευρωπαϊκή νομοθεσία για τα δικαιώματα του παιδιού / Οργανισμός Θεμελιωδών Δικαιωμάτων της Ευρωπαϊκής ΄Ενωσης Συμβούλιο της Ευρώπης, Ευρωπαϊκό Δικαστήριο Ανθρωπίνων Δικαιωμάτων.</t>
  </si>
  <si>
    <t>Λουξεμβούργο : Υπηρεσία Εκδόσεων της Ευρωπαϊκής Ένωσης, 2016.</t>
  </si>
  <si>
    <t>341.231.14-053.2(4-672EU) ΟΘΔΕΕ ε 2016</t>
  </si>
  <si>
    <t>International law as a profession: / Edited by Jean d' Aspremont, Tarcisio Gazzini, André Nollkaemper, Wouter Werner.</t>
  </si>
  <si>
    <t>341.08 AspJ i 2017</t>
  </si>
  <si>
    <t>Research handbook on freshwater law and international relations / Edited by Mara Tignino, Christian Bréthaut, Laura Turley.</t>
  </si>
  <si>
    <t>341:502.51(28) TigM r 2018</t>
  </si>
  <si>
    <t>Humanness as a protected legal interest of crimes against humanity : conceptual and normative aspects / Rustam Atadjanov.</t>
  </si>
  <si>
    <t>Atadjanov, Rustam.</t>
  </si>
  <si>
    <t>The Hague : Asser Press, [2019]</t>
  </si>
  <si>
    <t>341.48 AtaR h 2019</t>
  </si>
  <si>
    <t>International Investment law and history: / Edited by Stephan W. Schill, Christian J. Tams, Rainer Hofmann.</t>
  </si>
  <si>
    <t>Cheltenham : Edward Elgar , 2018.</t>
  </si>
  <si>
    <t>346(091) SchS i 2018</t>
  </si>
  <si>
    <t>Nuclear non-proliferation in international law. Volume IV, Human perspectives on the development and use of nuclear energy / Jonathan L. Black-Branch, Dieter Fleck, editors</t>
  </si>
  <si>
    <t>The Hague, The Netherlands : T.M.C. Asser Press Berlin, Germany : Springer, [2019]</t>
  </si>
  <si>
    <t>341.67 BlaJ n 2019</t>
  </si>
  <si>
    <t>Beyond Genocide : transitional justice and Gacaca Courts in Rwanda : the search for truth, justice and reconciliation / Pietro Sullo.</t>
  </si>
  <si>
    <t>Sullo, Pietro.</t>
  </si>
  <si>
    <t>The Hague : T.M.C. Asser Press, [2018]</t>
  </si>
  <si>
    <t>341.388(675.98) SulP b 2018</t>
  </si>
  <si>
    <t>Reference framework of competences for democratic culture / Council of Europe.</t>
  </si>
  <si>
    <t>Strasbourg : Council of Europe Publishing, c2018.</t>
  </si>
  <si>
    <t>Measuring the quality of justice : guide / European Commission for the Efficiency of Justice.</t>
  </si>
  <si>
    <t>Strasbourg : Council of Europe, 2017.</t>
  </si>
  <si>
    <t>34.07 ΣΕ.ECEJ m 2017</t>
  </si>
  <si>
    <t>Journalists under pressure : unwarranted interference, fear and self-censorship in Europe / authors, Marilyn Clark, Anna Grech.</t>
  </si>
  <si>
    <t>Clark, Marilyn, 1970-</t>
  </si>
  <si>
    <t>Strasbourg : Council of Europe, c2017.</t>
  </si>
  <si>
    <t>342.732(4) ClaM j 2017</t>
  </si>
  <si>
    <t>Labour standards in international economic law / Henner Gött, editor.</t>
  </si>
  <si>
    <t>Cham, Switzerland : Springer International Publishing, [2018]</t>
  </si>
  <si>
    <t>346:349.2 GotH l 2018</t>
  </si>
  <si>
    <t>Services trade in ASEAN : the road taken and the journey ahead / Dora Neo, Pierre Sauvé, Imola Streho.</t>
  </si>
  <si>
    <t>Neo, Dora Swee Suan.</t>
  </si>
  <si>
    <t>Cambridge New York, NY : Cambridge University Press, 2019.</t>
  </si>
  <si>
    <t>346(5-12) NeoD s 2019</t>
  </si>
  <si>
    <t>The legal authority of ASEAN as a security institution / Hitoshi Nasu ... [et al.].</t>
  </si>
  <si>
    <t>Nasu, Hitoshi.</t>
  </si>
  <si>
    <t>341.171(5-12) NasH l 2019</t>
  </si>
  <si>
    <t>The Oxford handbook of Demosthenes / edited by Gunther Martin.</t>
  </si>
  <si>
    <t>821.14`02-5(092) MarG o 2019</t>
  </si>
  <si>
    <t>Αίθουσα Ιστορίας Θεωρίας και Φιλοσοφίας του δικαίου</t>
  </si>
  <si>
    <t>Freedom of expression and defamation / Tarlach McGonagle in collaboration with Marie McGonagle and Ronan Ó Fathaigh edited by Onur Andreotti.</t>
  </si>
  <si>
    <t>McGonagle, Tarlach.</t>
  </si>
  <si>
    <t>Cork : Primento Digital Publishing, 2016.</t>
  </si>
  <si>
    <t>343.63(4) McGT s 2016</t>
  </si>
  <si>
    <t>Students as suspects? : the challenges of counter-radicalisation policies in education in the Council of Europe member states / Francesco Ragazzi.</t>
  </si>
  <si>
    <t>Ragazzi, Francesco.</t>
  </si>
  <si>
    <t>Strasbourg : Council of Europe Publishing, c2017.</t>
  </si>
  <si>
    <t>37.035(4) RagF s 2017</t>
  </si>
  <si>
    <t>Enforcement of intellectual property rights in the EU Member States / Flip Petillion (ed.)</t>
  </si>
  <si>
    <t>Cambridge Antwerp Chicago : Intersentia, c2018.</t>
  </si>
  <si>
    <t>347.78(4-672EU) PetF e 2018</t>
  </si>
  <si>
    <t>Administrative law in Hong Kong / Stephen Thomson.</t>
  </si>
  <si>
    <t>Thomson, Stephan.</t>
  </si>
  <si>
    <t>342.9(512.317) ThoS a 2018</t>
  </si>
  <si>
    <t>Law and policy in modern family finance : property division in the 21st Century / edited by Jessica Palmer ... [et al].</t>
  </si>
  <si>
    <t>Cambridge : Intersentia Ltd, c2017.</t>
  </si>
  <si>
    <t>347.626 PalJ l 2017</t>
  </si>
  <si>
    <t>Peace and justice at the international criminal court : A court of last resort / Errol P. Mendes.</t>
  </si>
  <si>
    <t>Mendes, Errol P.</t>
  </si>
  <si>
    <t>341.645 MenE p 2019</t>
  </si>
  <si>
    <t>Competition policy in healthcare : frontiers in insurance-based and taxation-funded systems / Mary Guy.</t>
  </si>
  <si>
    <t>Guy, Mary.</t>
  </si>
  <si>
    <t>347.776(4-672EU) GuyM c 2019</t>
  </si>
  <si>
    <t>Αίθουσα Διαθνούς Δικαίου και Εμπορικού Δικαίου</t>
  </si>
  <si>
    <t>The Oxford handbook of Roman law and society / edited by Paul J. du Plessis, Clifford Ando, and Kaius Tuori.</t>
  </si>
  <si>
    <t>Oxford : Oxford University Press, 2016</t>
  </si>
  <si>
    <t>34(37) PleP o 2016</t>
  </si>
  <si>
    <t>Sustainable management of natural resources : legal instruments and approaches / edited by Helle Tegner Anker, Birgitte Egelund Olsen.</t>
  </si>
  <si>
    <t>Cambridge, UK : Intersentia, c2018.</t>
  </si>
  <si>
    <t>341:502/504 AnkH s 2018</t>
  </si>
  <si>
    <t>Η σκέψη του Κορνήλιου Καστοριάδη και η σημασία της για μας σήμερα / επιμέλεια Γιάννης Κτενάς, Αλέξανδρος Σχισμένος.</t>
  </si>
  <si>
    <t>Αθήνα : Εκδόσεις Ευρασία, 2018.</t>
  </si>
  <si>
    <t>1(495) ΚτεΓ σ 2018</t>
  </si>
  <si>
    <t>International dispute resolution : Selected issues in international litigation and arbitration / Vesna Lazić, Steven Stuij Editors, Guest Editor: Ton Jorgbloed.</t>
  </si>
  <si>
    <t>The Hague : Asser Press, 2018.</t>
  </si>
  <si>
    <t>341.6 LazV i 2018</t>
  </si>
  <si>
    <t>Principles of European Cooperative Law : principles, commentaries and national reports / Gemma Fajardo ...[et al.]</t>
  </si>
  <si>
    <t>Cambridge Antwerp Portland : Intersentia, 2017</t>
  </si>
  <si>
    <t>347.726(4-672EU) FajI p 2017</t>
  </si>
  <si>
    <t>Cross-border debt recovery in the EU : a comparative and empirical study on the use of the European uniform procedures / Elena Alina Onţanu.</t>
  </si>
  <si>
    <t>Onţanu, Elena Alina, 1984-</t>
  </si>
  <si>
    <t>Cambridge : Intersentia, c2017.</t>
  </si>
  <si>
    <t>347.952(4-672EU) OntE c 2017</t>
  </si>
  <si>
    <t>Online arbitration in theory and in practice : a comparative study of cross-border commercial transactions in common law and civil law countries / by Ihab Amro.</t>
  </si>
  <si>
    <t>Amro, Ihab</t>
  </si>
  <si>
    <t>Newcastle, UK : Cambridge Scholars Publishing, 2019.</t>
  </si>
  <si>
    <t>341.63:347.7 AmrI o 2019</t>
  </si>
  <si>
    <t>Research handbook on maritime law and regulation / edited by Jason Chuah.</t>
  </si>
  <si>
    <t>Cheltenham Northampton : Edward Elgar Publishing, 2019.</t>
  </si>
  <si>
    <t>347.79 ChuJ r 2019</t>
  </si>
  <si>
    <t>International Investment Law and the Law of Armed Conflict / Katia Fach Gómez Anastasios Gourgourinis Catharine Titi.</t>
  </si>
  <si>
    <t>346 FacK i 2019</t>
  </si>
  <si>
    <t>When an original is not original : the originality requirement in Belgian law / Niels Vandezande.</t>
  </si>
  <si>
    <t>Vandezande, Niels.</t>
  </si>
  <si>
    <t>Cambridge Antwerp Chicago : Intersentia, [2019]</t>
  </si>
  <si>
    <t>347.94(493) VanN w [2019]</t>
  </si>
  <si>
    <t>Central issues in jurisprudence : Justice, Law and Rights / N. E. Simmonds.</t>
  </si>
  <si>
    <t>Simmonds, N. E. Nigel E.</t>
  </si>
  <si>
    <t>London : Sweet &amp; Maxwell, 2008.</t>
  </si>
  <si>
    <t>340.12 SimN c 2008</t>
  </si>
  <si>
    <t>La perspective d’un droit ecclésiastique de l’Union : à travers de l’évolution du droit ecclésiastique européen de facto: La vision nomocanonique de l’Eglise Orthodoxe / Savvas Georgiadis.</t>
  </si>
  <si>
    <t>Γεωργιάδης, Σάββας, 1983-</t>
  </si>
  <si>
    <t>Paris : Editions Universitaire europeene, 2019.</t>
  </si>
  <si>
    <t>348(4-672EU) ΓεωΣ p 2019</t>
  </si>
  <si>
    <t>Δίκαιο ιθαγένειας : η ελληνική ιθαγένεια εν μέσω εθνικών λύσεων και διεθνών εξελίξεων : συναφείς έννοιες - αρχές, ιστορική εξέλιξη - πηγές, κτήση - απώλεια, αποτελέσματα / Χρυσαφώ Τσούκα ... [κ.ά] πρόλογος Χάρης Π. Παμπούκης, Παναγιώτης Ζ. Φλώρος.</t>
  </si>
  <si>
    <t>Τσούκα, Χρυσαφώ Σ., συγγραφέας επιμελήτρια.</t>
  </si>
  <si>
    <t>341.215.4(495) ΤσοΧ δ 2019</t>
  </si>
  <si>
    <t>Jurisprudence : theory and context / Brian H. Bix.</t>
  </si>
  <si>
    <t>Bix, Brian.</t>
  </si>
  <si>
    <t>Durham : Carolina Academic Press, 2009.</t>
  </si>
  <si>
    <t>340.12 BixB j 2009</t>
  </si>
  <si>
    <t>Contemporary and emerging issues on the law of damages and valuation in international investment arbitration / edited by Christina L. Beharry.</t>
  </si>
  <si>
    <t>341.63:347.7 BehC c 2018</t>
  </si>
  <si>
    <t>The international law of biotechnology : human rights, trade, patents, health and the environment / Matthias Herdegen, University of Bonn, Germany.</t>
  </si>
  <si>
    <t>Herdegen, Matthias.</t>
  </si>
  <si>
    <t>341:60 HerM i 2018</t>
  </si>
  <si>
    <t>Oath and state in Ancient Greece / Alan H. Sommerstein, Andrew J. Bayliss ; with contributions by Lynn A. Kozak and Isabella C. Torrance.</t>
  </si>
  <si>
    <t>Sommerstein, Alan H.</t>
  </si>
  <si>
    <t>Berlin : De Gruyter, 2013</t>
  </si>
  <si>
    <t>342(38) KozL o 2013</t>
  </si>
  <si>
    <t>Athenian law and society / Konstantinos A. Kapparis.</t>
  </si>
  <si>
    <t>Κάππαρης, Κωνσταντίνος Α.</t>
  </si>
  <si>
    <t>London New York : Routledge, Taylor &amp; Francis Group, 2019.</t>
  </si>
  <si>
    <t>34(38) ΚαπΚ a 2019</t>
  </si>
  <si>
    <t>New Zealand yearbook of international law: volume 15, 2017 / edited by Róisín Burke, Christian Riffel.</t>
  </si>
  <si>
    <t>Christchurch, NZ : International Law Group, School of Law, University of Canterbury, [2019]</t>
  </si>
  <si>
    <t>Empire of honour : the art of government in the Roman world / J. E. Lendon.</t>
  </si>
  <si>
    <t>Lendon, J. E.</t>
  </si>
  <si>
    <t>Oxford : Clarendon Press, 1997</t>
  </si>
  <si>
    <t>32(37) LenJ e 2005</t>
  </si>
  <si>
    <t>Ethiopian Yearbook of International Law 2017 / Zeray Yihdego, Melaku Geboye Desta, Martha Belete Hailu, Fikremarkos Merso (editors).</t>
  </si>
  <si>
    <t>Switzerland : Springer, 2018.</t>
  </si>
  <si>
    <t>346 EYIL 2017</t>
  </si>
  <si>
    <t>Nigerian Yearbook of International Law 2017 / Chile Eboe-Osuji, Engobo Emeseh (editors).</t>
  </si>
  <si>
    <t>341 NYIL 2017</t>
  </si>
  <si>
    <t>Research handbook on global health law / edited by Gian Luca Burci, Brigit Toebes.</t>
  </si>
  <si>
    <t>Cheltenham Northampton, MA : Edward Elgar Publishing, 2018.</t>
  </si>
  <si>
    <t>347.56:614.25 BurG r 2018</t>
  </si>
  <si>
    <t>Incitement to terrorism / edited by Anne Bayefsky, Laurie Blank.</t>
  </si>
  <si>
    <t>Leiden : Brill Nijhoff, 2018.</t>
  </si>
  <si>
    <t>342.727 BayA i 2018</t>
  </si>
  <si>
    <t>Hungarian Yearbook of International and European Law 2018 / Marcel Szabó, Petra Lea Láncos and Reka Varga (eds.).</t>
  </si>
  <si>
    <t>The Hauge : Eleven International Publishing, 2019.</t>
  </si>
  <si>
    <t>341 SzaM h 2019</t>
  </si>
  <si>
    <t>Data protection law in the EU : roles, responsibilities and liability / Brendan Van Alsenoy.</t>
  </si>
  <si>
    <t>Van Alsenoy, Brendan.</t>
  </si>
  <si>
    <t>342.721 VanAB d 2019</t>
  </si>
  <si>
    <t>National constitutions in European and global governance : democracy, rights, the rule of law : national reports / Anneli Albi, Samo Bardutzky, editors.</t>
  </si>
  <si>
    <t>The Hague : T.M.C. Asser Press, [2019]</t>
  </si>
  <si>
    <t>342(4-672EU) AlbA n 2019 2</t>
  </si>
  <si>
    <t>342(4-672EU) AlbA n 2019 1</t>
  </si>
  <si>
    <t>Standards for e-voting : recommendation CM/REC(2017)5 adopted by the Committee of Ministers of the Council of Europe on 31 May 2017 Guidelines and explanatory memorandum.</t>
  </si>
  <si>
    <t>Συμβούλιο της Ευρώπης. Επιτροπή Υπουργών.</t>
  </si>
  <si>
    <t>Strasbourg : Council of Europe Pub., [2018]</t>
  </si>
  <si>
    <t>342.8(4) ΣΕ.ΕΥ s 2018</t>
  </si>
  <si>
    <t>Unveiling emotions : sources and methods for the study of emotions in the Greek world / edited by Angelos Chaniotis.</t>
  </si>
  <si>
    <t>Stuttgart : Steiner c2012.</t>
  </si>
  <si>
    <t>159.942(38) ΧανΑ u 2012</t>
  </si>
  <si>
    <t>Αίθουσα Θεωρίας, Φιλοσοφίας και Ιστορίας του Δικαίου</t>
  </si>
  <si>
    <t>Le Moyen Age et l'argent. Ελληνικά;"Ο Μεσαίωνας και το χρήμα : δοκίμιο ιστορικής ανθρωπολογίας / Jacques Le Goff μετάφραση Δέσποινα Λαμπαδά."</t>
  </si>
  <si>
    <t>Le Goff, Jacques, 1924-2014</t>
  </si>
  <si>
    <t>Αθήνα : Εκδόσεις του Εικοστού Πρώτου, 2016.</t>
  </si>
  <si>
    <t>338(4)(091) LeGJ m/μ 2016</t>
  </si>
  <si>
    <t>Δημοκρατία και αυτονομία : δοκίμια πολιτικής φιλοσοφίας / Παύλος Κ. Σκουρλάς.</t>
  </si>
  <si>
    <t>Σκουρλάς, Παύλος Κ.</t>
  </si>
  <si>
    <t>Αθήνα : Πόλις, 2017.</t>
  </si>
  <si>
    <t>32.01 ΣουΠ δ 2017</t>
  </si>
  <si>
    <t>Οι πρόσφυγες και τα καθήκοντά μας απέναντί τους / Κωνσταντίνος Α. Παπαγεωργίου.</t>
  </si>
  <si>
    <t>Παπαγεωργίου, Κωνσταντίνος Α.</t>
  </si>
  <si>
    <t>316.47 ΠαπΚ π 2017</t>
  </si>
  <si>
    <t>Η ανακοπή κατά διαταγής πληρωμής / Στέφανος Στ. Πανταζόπουλος.</t>
  </si>
  <si>
    <t>Πανταζόπουλος, Στέφανος Στ.</t>
  </si>
  <si>
    <t>3η έκδ., ενημ. και αναθ. με βάση και το ν. 4335/2015.</t>
  </si>
  <si>
    <t>347.952(495) ΠανΣ α 2016</t>
  </si>
  <si>
    <t>Greek notions of the past in the archaic and classical eras : history without historians / edited by John Marincola, Lloyd Llewellyn-Jones and Calum Maciver.</t>
  </si>
  <si>
    <t>Edinburgh : Edinburgh University Press, 2012.</t>
  </si>
  <si>
    <t>938(495) MarJ g 2012</t>
  </si>
  <si>
    <t>La voie: pour l'avenir de l'humanité. ελληνικά;"Ο δρόμος για το μέλλον της ανθρωπότητας : / Edgar Morin."</t>
  </si>
  <si>
    <t>Morin, Edgar.</t>
  </si>
  <si>
    <t>Αθήνα: Εκδόσεις του εικοστού πρώτου, 2016.</t>
  </si>
  <si>
    <t>316.42 MorE v/δ 2016</t>
  </si>
  <si>
    <t>Ancient law, ancient society / Dennis P. Kehoe and Thomas A. J. McGinn, editors.</t>
  </si>
  <si>
    <t>Ann Arbor : University of Michigan Press, 2017.</t>
  </si>
  <si>
    <t>34(3)(091) KehD a 2017</t>
  </si>
  <si>
    <t>Emotion and persuation in classical antiquity / edited by Ed Sanders and Matthew Johncock.</t>
  </si>
  <si>
    <t>Stuttgart : Franz Steiner Verlag, c2016.</t>
  </si>
  <si>
    <t>159.942(38) SanE e 2016</t>
  </si>
  <si>
    <t>Hieros Kai Asylos : territoriale Asylie im Hellenismus in ihrem historischen Kontext / Katharina Knäpper</t>
  </si>
  <si>
    <t>Knäpper, Katharina</t>
  </si>
  <si>
    <t>341.43(38) KnaK h 2014</t>
  </si>
  <si>
    <t>Law and legal practice in Egypt from Alexander to the Arab conquest : a selection of papyrological sources in translation, with introductions and commentary / edited by James G. Keenan, J.G. Manning, Uri Yiftach-Firanko.</t>
  </si>
  <si>
    <t>Cambridge, United Kingdom : Cambridge University Press, 2014.</t>
  </si>
  <si>
    <t>34‪(3)‬‪(093.2)‬ KeeJ l 2014</t>
  </si>
  <si>
    <t>Epigraphical approaches to the post-classical polis : fourth century BC to second century AD / edited by Paraskevi Martzavou, Nikolaos Papazarkadas.</t>
  </si>
  <si>
    <t>316.32(093.2) ΜαρΠ e 2013</t>
  </si>
  <si>
    <t>Epimenide de Crete / Hubert Demoulin.</t>
  </si>
  <si>
    <t>Demoulin, Hubert.</t>
  </si>
  <si>
    <t>New York : Arno Press, 1979</t>
  </si>
  <si>
    <t>255.2-386 DemH e 1979</t>
  </si>
  <si>
    <t>Inscribed Athenian laws and decrees 352/1-322/1 BC : epigraphical essays / by Stephen Lambert.</t>
  </si>
  <si>
    <t>Lambert, S. D., 1960-</t>
  </si>
  <si>
    <t>Leiden Boston : Brill, 2012.</t>
  </si>
  <si>
    <t>736.2(38) LamS i 2012</t>
  </si>
  <si>
    <t>From republic to empire : rhetoric, religion, and power in the visual culture of ancient Rome / John Pollini.</t>
  </si>
  <si>
    <t>Pollini, John.</t>
  </si>
  <si>
    <t>Norman : University of Oklahoma Press, 2012.</t>
  </si>
  <si>
    <t>7.032(37) PolJ f 2012</t>
  </si>
  <si>
    <t>Αίθουσα Ιστορίας Θεωρίας και Φιλοσοφίας του Δικαίου</t>
  </si>
  <si>
    <t>Copyright in cyberspace : copyright and the global information infrastructure : Amsterdam, 4-9 June 1996 / editor Marcel Dellebeke.</t>
  </si>
  <si>
    <t>Amsterdam, The Netherlands : Otto Cramwinckel, 1997.</t>
  </si>
  <si>
    <t>347.78(063) ALAI1996 c 1997</t>
  </si>
  <si>
    <t>From bedroom to courtroom : law and justice in the Greek novel / by Saundra Schwartz.</t>
  </si>
  <si>
    <t>Schwartz, Saundra, author.</t>
  </si>
  <si>
    <t>[Eelde, Netherlands] : Barkhuis : Groningen : Groningen University Library, 2016.</t>
  </si>
  <si>
    <t>821.14'02.09 SchS f 2016</t>
  </si>
  <si>
    <t>L'informatique et le droit d'auteur</t>
  </si>
  <si>
    <t>Cowansville [Québec] : Éditions Y. Blais, 1990.</t>
  </si>
  <si>
    <t>347.78(063) ALAI1989 i 1990</t>
  </si>
  <si>
    <t>Civil Justice in Greece / Dimitris Maniotis, Spyros Tsantinis.</t>
  </si>
  <si>
    <t>Μανιώτης, Δημήτρης Ν.</t>
  </si>
  <si>
    <t>[Tokyo], 2010.</t>
  </si>
  <si>
    <t>347.9(495) ΜανΔ c 2010</t>
  </si>
  <si>
    <t>Myth, ritual, memory, and exchange. Greek;"Αρχαία ελληνική τραγωδία και τελετουργία : δέκα μελετήματα / John Gould μετάφραση Βάιος Λιάπης."</t>
  </si>
  <si>
    <t>Gould, John, 1927-</t>
  </si>
  <si>
    <t>Αθήνα : Μορφωτικό Ίδρυμα Εθνικής Τραπέζης, 2018.</t>
  </si>
  <si>
    <t>821.14'02-21.09 GouJ m/α 2018</t>
  </si>
  <si>
    <t>The laws of ancient Crete c. 650-400 BCE / Michael Gagarin and Paula Perlman</t>
  </si>
  <si>
    <t>Gagarin, Michael.</t>
  </si>
  <si>
    <t>1st</t>
  </si>
  <si>
    <t>34(38) GagM l 2016</t>
  </si>
  <si>
    <t>Die Insolvenz im Filmrechtehandel / Isabel Ahlmer.</t>
  </si>
  <si>
    <t>Ahlmer, Isabel.</t>
  </si>
  <si>
    <t>Berlin : Wissenschaftlicher Verlag Berlin, c2005.</t>
  </si>
  <si>
    <t>347.786 AhlI i 2005</t>
  </si>
  <si>
    <t>Begründung und Übertragung von Rechten an Werken der Literatur und Kunst / Richard Allemann.</t>
  </si>
  <si>
    <t>Allemann, Richard.</t>
  </si>
  <si>
    <t>Aarau : Keller, 1955.</t>
  </si>
  <si>
    <t>347.78 AllR b 1955</t>
  </si>
  <si>
    <t>Judicial co-operation : recent progress / Neil Andrews.</t>
  </si>
  <si>
    <t>Andrews, Neil, 1959-</t>
  </si>
  <si>
    <t>Baden-Baden : Nomos-Verl., 2001.</t>
  </si>
  <si>
    <t>341.98(4-672EU)(063) AndN j 2001</t>
  </si>
  <si>
    <t>Kündigungsrecht : Grosskommentar zum gesamten Recht der Beendigung von Arbeitsverhältnissen / herausgeber Reiner Ascheid, Ulrich Preis, Ingrid Schmidt.</t>
  </si>
  <si>
    <t>Ascheid, Reiner.</t>
  </si>
  <si>
    <t>5. neu bearbeitete Aufl.</t>
  </si>
  <si>
    <t>München : C.H. Beck, 2017.</t>
  </si>
  <si>
    <t>349.25 AscR k 2017</t>
  </si>
  <si>
    <t>Droit d'auteur et propriété industrielle : ongrès de la Mer Egée II = Congress of the Aegean See II : Congress of the Aegean See II / Association Littéraire et Artistique International.</t>
  </si>
  <si>
    <t>Asociacion Litéraire et Artístique Internacionale : ( 58o. 1991)</t>
  </si>
  <si>
    <t>Paris : ALAI, 1992.</t>
  </si>
  <si>
    <t>347.78(063)</t>
  </si>
  <si>
    <t>Rapport sur le 56e congrés de l'ALAI tenu sous le patronage du Conseil Fédéral du 8-12 septembre 1986 á Berne = Report on the 56th ALAI-congress under the patronage of the swiss government Berne, 8-12 september 1986 / redacteur/editor Paul Brügger.</t>
  </si>
  <si>
    <t>Association Littéraire et Artistique Internationale. Congrès ( 56︠. 1986. Berna)</t>
  </si>
  <si>
    <t>Berne : Association Suisse pour la protection du droit d'auter et les auteurs, 1987.</t>
  </si>
  <si>
    <t>347.78(063) ALAI1986 r 1987</t>
  </si>
  <si>
    <t>Le droit moral de l'auteur = The moral right of the author : congrès d'Antwers 19-24 september 1993 / ed. Jan Corbet ... [et al.]</t>
  </si>
  <si>
    <t>Association Littéraire et Artistique Internationale. Congrès.</t>
  </si>
  <si>
    <t>Paris : Association Suisse pour la protection du droit d'auter et les auteurs, 1994.</t>
  </si>
  <si>
    <t>Relations individuelles de travail et fait familial : approches nationales et comparées autour de la Méditerranée / Philippe Auvergnon, Maryse Badel.</t>
  </si>
  <si>
    <t>Auvergnon, Philippe.</t>
  </si>
  <si>
    <t>Pessac: Presses universitaires de Bordeaux, 2016.</t>
  </si>
  <si>
    <t>349.22 AuvP r 2016</t>
  </si>
  <si>
    <t>Einführung in das Recht der Bundesrepublik Deutschland / Fritz Baur.</t>
  </si>
  <si>
    <t>Baur, Fritz, 1911-</t>
  </si>
  <si>
    <t>Munchen : C.H.Beck, 1974.</t>
  </si>
  <si>
    <t>34(430) BauF e 1974</t>
  </si>
  <si>
    <t>Fälle und Lösungen nach höchstrichterlichen Entscheidungen : Zwangsvollstreckungs-, Konkurs- und Vergleichsrecht / Fritz Baur.</t>
  </si>
  <si>
    <t>3. neubearbeitete und erw. Aufl.</t>
  </si>
  <si>
    <t>Heidelberg : C. F. Müller, 1974.</t>
  </si>
  <si>
    <t>347.991(430)(094.9) BauF f 1974</t>
  </si>
  <si>
    <t>Law's indigenous ethics / John Borrows.</t>
  </si>
  <si>
    <t>Borrows, John, 1963-</t>
  </si>
  <si>
    <t>Toronto Buffalo London : University of Toronto Press, 2019.</t>
  </si>
  <si>
    <t>34:39 BorJ l 2019</t>
  </si>
  <si>
    <t>Gesetz über die Zwangsversteigerung und Zwangsverwaltung: Kommentar / Rolland Böttcher</t>
  </si>
  <si>
    <t>Böttcher, Roland</t>
  </si>
  <si>
    <t>5. bearbeitete Aufl.</t>
  </si>
  <si>
    <t>München: C.H. Beck, 2010</t>
  </si>
  <si>
    <t>347.9(430) BotR g 2010</t>
  </si>
  <si>
    <t>Unlocking land law / by Judith Bray.</t>
  </si>
  <si>
    <t>Bray, Judith, 1954-</t>
  </si>
  <si>
    <t>London : Hodder Education, 2007.</t>
  </si>
  <si>
    <t>347.235 BraJ u 2007</t>
  </si>
  <si>
    <t>Droit pénal du travail : infractions, responsabilités, procédure pénale en droit du travail et de la sécurité sociale / Alain Coeuret, Élisabeth Fortis, François Duquesne.</t>
  </si>
  <si>
    <t>Coeuret, Alain.</t>
  </si>
  <si>
    <t>6e ed.</t>
  </si>
  <si>
    <t>349.2(44) CoeA d 2016</t>
  </si>
  <si>
    <t>Legal anthropology : an introduction / James M. Donovan.</t>
  </si>
  <si>
    <t>Donovan, James M., 1959-</t>
  </si>
  <si>
    <t>Lanham, MD : Altamira Press, 2007.</t>
  </si>
  <si>
    <t>34:39 DonJ l 2007</t>
  </si>
  <si>
    <t>Verfassungs- und verwaltungsrechtsgeschichtliche Grundlagen der Lehre vom fehlerhaften belastenden Verwaltungsakt und seiner Aufhebung im Prozess : ein dogmengeschichtlicher Beitrag zu Rechtsbindung, Rechtswidrigkeit und Rechtsschutz im Bereich staatlicher Eingriffsverwaltung / von Hans-Uwe Erichsen.</t>
  </si>
  <si>
    <t>Erichsen, Hans Uwe.</t>
  </si>
  <si>
    <t>Frankfurt am Main : Athenäum Verlag, 1971.</t>
  </si>
  <si>
    <t>342.924(091) EriH v 1971</t>
  </si>
  <si>
    <t>Law and anthropology / by Wolfgang Fikentscher.</t>
  </si>
  <si>
    <t>Fikentscher, Wolfgang, 1928-</t>
  </si>
  <si>
    <t>München, Germany : C.H. Beck, 2016</t>
  </si>
  <si>
    <t>34:39 FikW l 2016</t>
  </si>
  <si>
    <t>Food law : cases and materials / Jacob E. Gersen, Margot J. Pollans, Michael T. Roberts.</t>
  </si>
  <si>
    <t>Gersen, Jacob E.</t>
  </si>
  <si>
    <t>New York : Wolters Kluwer, [2019]</t>
  </si>
  <si>
    <t>351.773 GerJ f 2019</t>
  </si>
  <si>
    <t>Great debates in medical law and ethics / Imogen Goold and Jonathan Herring.</t>
  </si>
  <si>
    <t>Goold, Imogen.</t>
  </si>
  <si>
    <t>London : Palgrave Macmillan, 2018.</t>
  </si>
  <si>
    <t>34:614 GooI g 2018</t>
  </si>
  <si>
    <t>Αίθουσα Δημασίου Δικαίου</t>
  </si>
  <si>
    <t>Public health law : power, duty, restraint / Lawrence O. Gostin and Lindsay F. Wiley.</t>
  </si>
  <si>
    <t>Gostin, Larry O. (Larry Ogalthorpe)</t>
  </si>
  <si>
    <t>Oakland, California : University of California Press, [2016]</t>
  </si>
  <si>
    <t>34:614 GosL p 2016</t>
  </si>
  <si>
    <t>Droit processuel : droits fondamentaux du procés / Serge Guinchard ... [et al.].</t>
  </si>
  <si>
    <t>Guinchard, Serge.</t>
  </si>
  <si>
    <t>7me ed.</t>
  </si>
  <si>
    <t>Paris : Dalloz, 2013.</t>
  </si>
  <si>
    <t>347.9.05 GuiS d 2013</t>
  </si>
  <si>
    <t>Die Erklärung mit Nichtwissen : (§ 138 IV ZPO): zugleich eine kritische Analyse der Lehre der allgemeinen Aufklärungspflicht / von Wolfgang hackenberg.</t>
  </si>
  <si>
    <t>Hackenberg, Wolfgang.</t>
  </si>
  <si>
    <t>Berlin : Duncker &amp; Humblot, 1995.</t>
  </si>
  <si>
    <t>---</t>
  </si>
  <si>
    <t>Internationales Scheidungsrecht / Dieter Henrich.</t>
  </si>
  <si>
    <t>Henrich, Dieter, 1927-</t>
  </si>
  <si>
    <t>2. Aufl.</t>
  </si>
  <si>
    <t>Bielefeld : Ernst und Werner Gieseking, 2005.</t>
  </si>
  <si>
    <t>341.96:347.627 HenD i 2005</t>
  </si>
  <si>
    <t>European Union health law : themes and implications / Tamara K. Hervey and Jean V. McHale.</t>
  </si>
  <si>
    <t>Hervey, Tamara K.</t>
  </si>
  <si>
    <t>34:614(4-672EU) HerT e 2015</t>
  </si>
  <si>
    <t>The law of primitive man : a study in comparative legal dynamics / E. Adamson Hoebel.</t>
  </si>
  <si>
    <t>Hoebel, E. Adamson, 1906-</t>
  </si>
  <si>
    <t>Cambridge, Massachusetts London : Harvard University Press, 2006.</t>
  </si>
  <si>
    <t>34:39 HoeE l 2006</t>
  </si>
  <si>
    <t>Urheber- und Verlagsrecht : ein Studienbuch / von Heinrich Hubmann ; fortgeführt von Manfred Rehbinder.</t>
  </si>
  <si>
    <t>Hubmann, Heinrich.</t>
  </si>
  <si>
    <t>8. völlig neubearbeitete Aufl.</t>
  </si>
  <si>
    <t>München : Beck, 1995.</t>
  </si>
  <si>
    <t>347.781 HubH u 1995</t>
  </si>
  <si>
    <t>Immaterialgüterrechte nach dem Tode des Schöpfers / Manfred Hunziker.</t>
  </si>
  <si>
    <t>Hunziker, Manfred.</t>
  </si>
  <si>
    <t>Bern : Stämpfli, 1983.</t>
  </si>
  <si>
    <t>347.78 HunM i 1983</t>
  </si>
  <si>
    <t>Intellectual property rights : a global vision / edited by S.K. Verma and Raman Mittal.</t>
  </si>
  <si>
    <t>International Association for the Advancement of Teaching and Research in Intellectual Property. Congress (1st : 2002 : New Delhi, India)</t>
  </si>
  <si>
    <t>New Delhi : Indian Law Institute, 2004.</t>
  </si>
  <si>
    <t>347.78(063) IAATRIP2002 i 2004</t>
  </si>
  <si>
    <t>Ο ρόλος των ανώτατων δικαστηρίων σε εθνικό και διεθνές επίπεδο : διεθνές συνέδριο : εισηγήσεις : Θεσσαλονίκη 21-25 Μαϊου 1997 = The role of the Supreme Courts at the national and international level : international colloquium : reports : Thessaloniki 21-25 May 1997.</t>
  </si>
  <si>
    <t>International Association of Procedural Law. International Colloquium (4th 1997 Thessaloniki)</t>
  </si>
  <si>
    <t>Θεσσαλονίκη: Sakkoulas, 1997.</t>
  </si>
  <si>
    <t>347.991(495)(063) IAPL1997 1997 1-2</t>
  </si>
  <si>
    <t>347.991(495)(063) IAPL1997 1997 3</t>
  </si>
  <si>
    <t>Rechtssoziologie und Prozessrecht : Nationalberichte und Generalbericht zum Thema Der Beitrag des Rechtssoziologie zur Reform des Prozessrechts des VII. Internationalen Kongresses fur Prozessrecht, Wurzburg 1983 / herausgegeben von Gunter H. Roth.</t>
  </si>
  <si>
    <t>International Congress on Procedural Law (7th : 1983 : Wurzburg, Germany)</t>
  </si>
  <si>
    <t>Wien : A. Orac, 1983.</t>
  </si>
  <si>
    <t>347.9(063) ICPL1983 r 1983</t>
  </si>
  <si>
    <t>Zivilprozessrecht : ein Studienbuch / von Othmar Jauernig.</t>
  </si>
  <si>
    <t>Jauernig, Othmar.</t>
  </si>
  <si>
    <t>29. völlig neubearb. Aufl.</t>
  </si>
  <si>
    <t>München : C.H. Beck, 2007.</t>
  </si>
  <si>
    <t>347.9 JauO z 2007</t>
  </si>
  <si>
    <t>Zwangsvollstreckungs- und Insolvenzrecht : ein Studienbuch / von Othmar Jauernig.</t>
  </si>
  <si>
    <t>20. völlig neub. und erw. Aufl.</t>
  </si>
  <si>
    <t>München : C.H. Beck, 1996.</t>
  </si>
  <si>
    <t>347.736(430) JauO z 1996</t>
  </si>
  <si>
    <t>Pouvoir, Justice et Société : actes des XIXèmes Journées d'Histoire du Droit 9-11 juin 1999 / textes réunis par Jacqueline Hoareau-Dodinau et Pascal Texier.</t>
  </si>
  <si>
    <t>Journées d'Histoire du Droit (XIXes : 1999 : Limoges)</t>
  </si>
  <si>
    <t>Limoges : Pulim, 2000.</t>
  </si>
  <si>
    <t>340.114(063) JHD1999 p 2000</t>
  </si>
  <si>
    <t>Die Änderungskündigung im Lichte des Verhältnismässigkeitsprinzips : tatsächliches Potential und rechtliche Grenzen / Martin Kalf.</t>
  </si>
  <si>
    <t>Kalf, Martin.</t>
  </si>
  <si>
    <t>Frankfurt am Main : PL Academic Research, 2013.</t>
  </si>
  <si>
    <t>349.25 KalM a 2013</t>
  </si>
  <si>
    <t>Gerichtsverfassungsrecht : ein Studienbuch / von Eduard Kern ; neubearbeiter von Manfred Wolf.</t>
  </si>
  <si>
    <t>Kern, Eduard, 1887-</t>
  </si>
  <si>
    <t>5. völlig neubearb. Aufl.</t>
  </si>
  <si>
    <t>347.97/.99 KerE g 1975</t>
  </si>
  <si>
    <t>Streikrecht und Europarecht / von Elisabeth Kohlbacher.</t>
  </si>
  <si>
    <t>Kohlbacher, Elisabeth.</t>
  </si>
  <si>
    <t>Wien : Linde, 2014.</t>
  </si>
  <si>
    <t>349.215 KohE s 2014</t>
  </si>
  <si>
    <t>Αίθουσα Αστικού και Αστικού Δικαονομικού Δικαίου</t>
  </si>
  <si>
    <t>Civil procedure / by P. St J. Langan and D. G. Lawrence.</t>
  </si>
  <si>
    <t>Langan, P. St. J. (Peter St. John)</t>
  </si>
  <si>
    <t>3nd ed.</t>
  </si>
  <si>
    <t>London : Sweet &amp; Maxwell, 1983.</t>
  </si>
  <si>
    <t>347.9 LanP c 1983</t>
  </si>
  <si>
    <t>Vertragliche Entgeltansprüche aus betrieblicher Übung : insbesondere gegenüber bisher noch nicht unmittelbar begünstigten Arbeitnehmern / Yvonne Lange</t>
  </si>
  <si>
    <t>Lange, Yvonne.</t>
  </si>
  <si>
    <t>Hamburg : Verlag Dr. Kovač, 2016.</t>
  </si>
  <si>
    <t>349.212 LanY v 2016</t>
  </si>
  <si>
    <t>Judicial deliberations : a comparative analysis of judicial transparency and legitimacy / Mitchel de S.-O.-L'E. Lasser.</t>
  </si>
  <si>
    <t>Lasser, Mitchel de S.-O.-L'E</t>
  </si>
  <si>
    <t>Oxford : Oxford University Press, 2004</t>
  </si>
  <si>
    <t>Paroles données. Ελληνικά.;"Ανθρωπολογία και μύθος : λόγοι που εκφώνησα</t>
  </si>
  <si>
    <t>Αθήνα : Καρδαμίτσα, 1990-1991.</t>
  </si>
  <si>
    <t>39 LevC p/α 1991 1+2</t>
  </si>
  <si>
    <t>Privacy, confidentiality, and health research / William W. Lowrance.</t>
  </si>
  <si>
    <t>Lowrance, William W., 1943-</t>
  </si>
  <si>
    <t>Cambridge : Cambridge University Press, 2012.</t>
  </si>
  <si>
    <t>34:614 LowW p 2012</t>
  </si>
  <si>
    <t>Zivilprozessrecht : Erkenntnisverfahren Zwangsvollstreckung / begrundet von Peter Arens.</t>
  </si>
  <si>
    <t>Lüke, Wolfgang.</t>
  </si>
  <si>
    <t>8., neubearbeitete Aufl./ von Wolfgang Luke</t>
  </si>
  <si>
    <t>Munchen : Beck, 2003.</t>
  </si>
  <si>
    <t>347.9(430) AreP z 2003</t>
  </si>
  <si>
    <t>Food law : European, domestic and international frameworks / Caoimhín MacMaoláin.</t>
  </si>
  <si>
    <t>MacMaoláin, Caoimhín</t>
  </si>
  <si>
    <t>Oxford : Hart Publishing, 2015.</t>
  </si>
  <si>
    <t>351.773 MacC f 2015</t>
  </si>
  <si>
    <t>EU food law : protecting consumers and health in a common market / Caoimhín MacMaoláin.</t>
  </si>
  <si>
    <t>MacMaoláin, Caoimhín.</t>
  </si>
  <si>
    <t>Oxford Portland, Or. : Hart, 2007.</t>
  </si>
  <si>
    <t>351.773(4-672EU) MacC e 2007</t>
  </si>
  <si>
    <t>Die Befriedigungsverfügung nach deutschem und griechischem Recht unter besonderer Berücksichtigung des Wettbewerbsrechts : vom summarischen vorläufigen zum beschleunigten endgültigen Rechtsschutz? / Maria-Markissia Mantzourani-Tschaschnig.</t>
  </si>
  <si>
    <t>Mantzourani-Tschaschnig, Maria-Markissia, 1957-</t>
  </si>
  <si>
    <t>Frankfurt am Main New York : P. Lang, c1986.</t>
  </si>
  <si>
    <t>Mauss, Marcel, 1872-1950</t>
  </si>
  <si>
    <t>Αθήνα : Εκδόσεις του Εικοστού Πρώτου, 2003.</t>
  </si>
  <si>
    <t>133.4 MauM e/σ 2003</t>
  </si>
  <si>
    <t>Αθήνα : Εκδόσεις του Εικοστού Πρώτου, 2004.</t>
  </si>
  <si>
    <t>39 MauM s/κ 2004</t>
  </si>
  <si>
    <t>Ancient society. Ελληνικά;"Η αρχαία κοινωνία / Λιούις Χένρυ Μόργκαν μετάφραση Γρηγόρης Λιόνης επιμέλεια Κώστας Μετρίνος."</t>
  </si>
  <si>
    <t>Morgan, Lewis Henry 1818-1881.</t>
  </si>
  <si>
    <t>Αθήνα : Ελεύθερος Τύπος, 2013.</t>
  </si>
  <si>
    <t>316.323.3 MorL a/α 2013</t>
  </si>
  <si>
    <t>Computersoftware : Rechtsschutz und Vertragsgestaltung : eine systematische Darstellung nach deutschem und EG-Recht / von Hans-Werner Moritz, Barbara Tybusseck</t>
  </si>
  <si>
    <t>Moritz, Hans-Werner</t>
  </si>
  <si>
    <t>München : Beck, 1986</t>
  </si>
  <si>
    <t>34:004(430) MorH c 1986</t>
  </si>
  <si>
    <t>Health and human rights / Thérèse Murphy.</t>
  </si>
  <si>
    <t>Murphy, Thérèse.</t>
  </si>
  <si>
    <t>Oxford Portland, Oregon : Hart Publishing, 2013.</t>
  </si>
  <si>
    <t>342.72/.73:614 MurT h 2013</t>
  </si>
  <si>
    <t>Europarecht : ein Studienbuch / von Thomas Opperman.</t>
  </si>
  <si>
    <t>Oppermann, Thomas</t>
  </si>
  <si>
    <t>2., vollstaendig ueberarbeitete Aufl.</t>
  </si>
  <si>
    <t>Muenchen : C.H. Beck, 1999.</t>
  </si>
  <si>
    <t>34(4-672EU) OppT e 1999</t>
  </si>
  <si>
    <t>Die betriebliche Übung / Christian Picker.</t>
  </si>
  <si>
    <t>Picker, Christian.</t>
  </si>
  <si>
    <t>Tübingen : Mohr Siebeck, 2011.</t>
  </si>
  <si>
    <t>349.212 PicC b 2011</t>
  </si>
  <si>
    <t>The anthropology of law / Fernanda Pirie.</t>
  </si>
  <si>
    <t>Pirie, Fernanda, 1964-.</t>
  </si>
  <si>
    <t>34:39 PirF a 2013</t>
  </si>
  <si>
    <t>Manuel de droit européen du travail / Sophie Robin-Olivier.</t>
  </si>
  <si>
    <t>Robin-Olivier Sophie.</t>
  </si>
  <si>
    <t>Bruxelles: Bruylant, 2016.</t>
  </si>
  <si>
    <t>349.2(4-672EU) RobS m 2016</t>
  </si>
  <si>
    <t>Zivilprozessrecht / begr. von Leo Rosenberg ; fortgef. von Karl Heinz Schwab, nunmehr bearbeitet von Peter Gottwald.</t>
  </si>
  <si>
    <t>Rosenberg, Leo, 1879-1963.</t>
  </si>
  <si>
    <t>15., neubearb. Aufl.</t>
  </si>
  <si>
    <t>München : Beck, 1993.</t>
  </si>
  <si>
    <t>347.9(430) RosL z 1993</t>
  </si>
  <si>
    <t>EU health law &amp; policy : the expansion of EU power in public health and health care / Anniek de Ruijter.</t>
  </si>
  <si>
    <t>Ruijter, Anniek de.</t>
  </si>
  <si>
    <t>34:614(4-672EU) RuiA e 2019</t>
  </si>
  <si>
    <t>Arbeitsrechts-Handbuch : systematische Darstellung und Nachschlagewerk für die Praxis / begründet von Günter Schaub bearbeitet von Martina Ahrendt ... [et al.].</t>
  </si>
  <si>
    <t>Schaub, Günter.</t>
  </si>
  <si>
    <t>18., neu berarb. Aufl.</t>
  </si>
  <si>
    <t>München : C. H. Beck, 2019.</t>
  </si>
  <si>
    <t>349.2(430) SchG a 2019</t>
  </si>
  <si>
    <t>Das Arbeitsgerichtsverfahren / von Günter Schaub.</t>
  </si>
  <si>
    <t>Schaub, Günter.</t>
  </si>
  <si>
    <t>Stand, 1. Aug. 1974</t>
  </si>
  <si>
    <t>München : Deutscher Taschenbuch-Verlag, 1974.</t>
  </si>
  <si>
    <t>347.919.5(430) SchG a 1974</t>
  </si>
  <si>
    <t>Die juristische Doktorarbeit : eine Anleitung zur Themenwahl und zur Bearbeitung von Dissertationen / Egon Schneider.</t>
  </si>
  <si>
    <t>Schneider, Egon</t>
  </si>
  <si>
    <t>Düsseldorf : Müller-Albrechts, 1964.</t>
  </si>
  <si>
    <t>808.1:82-991 SchE j 1964</t>
  </si>
  <si>
    <t>Streik und Aussperrung : vergleichende Bestandsaufnahme und Kritik / Claudia Schuh.</t>
  </si>
  <si>
    <t>Schuh, Claudia.</t>
  </si>
  <si>
    <t>Hamburg : Kovač, 2004.</t>
  </si>
  <si>
    <t>349.215 SchC s 2004</t>
  </si>
  <si>
    <t>Αίθουσα Ποινικού Δικαίο και Εργατικού Δικαίου</t>
  </si>
  <si>
    <t>Rechtsbehelfe bei vollstreckbaren Urkunden : Zugleich ein Beitrag zum Rechtsschutzsystem des 8. Buchs der ZPO / von Ullrich R. Schultheis.</t>
  </si>
  <si>
    <t>Schultheis, Ullrich R.</t>
  </si>
  <si>
    <t>Berlin : Duncker &amp; Humblot, 1996.</t>
  </si>
  <si>
    <t>347.955 SchU r 1996</t>
  </si>
  <si>
    <t>Filmlizenzen in der Insolvenz : Eine vergleichende Untersuchung des deutschen und US-amerikanischen Rechts / Christian Schwabe.</t>
  </si>
  <si>
    <t>Schwabe, Christan.</t>
  </si>
  <si>
    <t>Göttingen : Cuvillier, 2007.</t>
  </si>
  <si>
    <t>347.786 SchC f 2006</t>
  </si>
  <si>
    <t>Die prozessuale Behandlung materiellrechtlicher Einreden, heute und einst / von Horst Seelig.</t>
  </si>
  <si>
    <t>Seelig, Horst.</t>
  </si>
  <si>
    <t>Die Unabhängigkeit des Richters / Dieter Simon.</t>
  </si>
  <si>
    <t>Simon, Dieter, 1935-</t>
  </si>
  <si>
    <t>Darmstadt : Wissenschaftliche Buchgesellschaft, [Abt. Verl.], 1975.</t>
  </si>
  <si>
    <t>347.962(430) SimD u 1975</t>
  </si>
  <si>
    <t>Assisted death : a study in ethics and law / L.W. Sumner.</t>
  </si>
  <si>
    <t>Sumner, L. W.</t>
  </si>
  <si>
    <t>342.7:179.7 SumL a 2011</t>
  </si>
  <si>
    <t>La protection de l'inventeur en droit polonais / [Janusz Szwaja].</t>
  </si>
  <si>
    <t>Szwaja, Janusz. 1934-</t>
  </si>
  <si>
    <t>Milano : A.Giuffrè, 1983.</t>
  </si>
  <si>
    <t>347.771(438)(04) SzwJ p 1983</t>
  </si>
  <si>
    <t>The right to health in international law / John Tobin.</t>
  </si>
  <si>
    <t>Tobin, John (John William), 1968-</t>
  </si>
  <si>
    <t>34:614 TobJ r 2012</t>
  </si>
  <si>
    <t>Ανατύπωση 2013;"Αίθουσα Δημοσίου Δικαίου"</t>
  </si>
  <si>
    <t>Profili del processo civile : parte generale / Giovanni Verde.</t>
  </si>
  <si>
    <t>Verde, Giovanni</t>
  </si>
  <si>
    <t>Rist. con appendice di aggiornamento</t>
  </si>
  <si>
    <t>Napoli : Jovene, 1984</t>
  </si>
  <si>
    <t>347.9(450) VerG p 1984</t>
  </si>
  <si>
    <t>Umstrukturierung und übertragung von Unternehmen : arbeitsrechtliches Handbuch / Heinz Josef Willemsen ... [et al.].</t>
  </si>
  <si>
    <t>Willemsen, Heinz Josef.</t>
  </si>
  <si>
    <t>5. uberarbeitete Aufl.</t>
  </si>
  <si>
    <t>349.212 WilH u 2016</t>
  </si>
  <si>
    <t>Die Parteivernehmung in der zivilprozessualen Praxis / von Johannes Wittschier.</t>
  </si>
  <si>
    <t>Wittschier, Johannes.</t>
  </si>
  <si>
    <t>Köln Berlin Bonn : München : Heymann, 1989.</t>
  </si>
  <si>
    <t>347.943(430) WitJ p 1989</t>
  </si>
  <si>
    <t>Background reading material on intellectual property / [World Intellectual Property Organization pref. Arpad Bogsch].</t>
  </si>
  <si>
    <t>World Intellectual Property Organization.</t>
  </si>
  <si>
    <t>[Geneva] : World Intellectual Property Organization, 1993.</t>
  </si>
  <si>
    <t>347.78 WIPO b 1988</t>
  </si>
  <si>
    <t>Immaterialgüterrechte und ihre Zwangsvollstreckung / Julia Bettina Zimmermann.</t>
  </si>
  <si>
    <t>Zimmermann, Julia Bettina.</t>
  </si>
  <si>
    <t>St. Augustin : Gardez! Verlag, 1998.</t>
  </si>
  <si>
    <t>347.78 ZimJ i 1998</t>
  </si>
  <si>
    <t>Το αδίκημα της μη καταβολής χρεών προς το δημόσιο και τρίτους (: άρθρο 25 Ν. 1882/1990) : ζητήματα ουσιαστικού και δικονομικού ποινικού δικαίου / Βασίλειος Ι. Αδάμπας.</t>
  </si>
  <si>
    <t>Αδάμπας, Βασίλειος Ι.</t>
  </si>
  <si>
    <t>Αθήνα Θεσσαλονίκη : Εκδ. Σάκκουλα, 2018.</t>
  </si>
  <si>
    <t>343.359.2 ΑδαΒ α 2018</t>
  </si>
  <si>
    <t>Ταυτότητες και ετερότητες : σύμβολα, συγγένεια, κοινότητα στην Ελλάδα-Βαλκάνια / Ελευθέριος Π. Αλεξάκης.</t>
  </si>
  <si>
    <t>Αθήνα : Δωδώνη, 2001.</t>
  </si>
  <si>
    <t>39(495) ΑλεΕ τ 2006</t>
  </si>
  <si>
    <t>Θέματα πνευματικής ιδιοκτησίας και νομολογιακή έρευνα αυτών εν Ελλάδι / Κωνσταντίνου Θ. Ασπρογέρακα-Γρίβα.</t>
  </si>
  <si>
    <t>Ασπρογέρακας-Γρίβας, Κωνσταντίνος Θ., 1930-</t>
  </si>
  <si>
    <t>Αθήναι : [χ.ό.], 1975.</t>
  </si>
  <si>
    <t>347.78 ΑσπΚ θ 1975</t>
  </si>
  <si>
    <t>Η αποποίηση κληρονομιάς : υπό το πρίσμα της οικονομικής κρίσης / Βασίλειος Α. Βάθης.</t>
  </si>
  <si>
    <t>Βάθης, Βασίλειος Α., 1950-</t>
  </si>
  <si>
    <t>347.65 ΒαθΒ α 2018</t>
  </si>
  <si>
    <t>Γενικαί αρχαί του αστικού δικαίου : κατά τας παραδόσεις του Καθηγητού Ανδρέου Α. Γαζή.</t>
  </si>
  <si>
    <t>Γαζής, Ανδρέας Α., 1909-2000.</t>
  </si>
  <si>
    <t>Αθήναι, 1970-1974.</t>
  </si>
  <si>
    <t>347.1 ΓαζΑ γ 1974 2.2</t>
  </si>
  <si>
    <t>Ασφαλιστικά μέτρα : (προσωρινή δικαστική προστασία αξιώσεων ιδιωτικού δικαίου) : σχολιασμένη νομολογία και βιβλιογραφία νομικές μελέτες /γνωμοδοτήσεις του συγγραφέως / Κυριάκος Δημ. Γεωργίου ; επιστημονική επιμ. Μιχαήλ Γ. Βαρκλαντής φιλολογική επιμ. Άρτεμις Κυρ. Γεωργίου.</t>
  </si>
  <si>
    <t>Γεωργίου, Κυριάκος Δημ.</t>
  </si>
  <si>
    <t>Αθήνα ; Θεσσαλονίκη : Σάκκουλας, 2015.</t>
  </si>
  <si>
    <t>347.919.6 ΓεωΚ α 2015</t>
  </si>
  <si>
    <t>H διακοπή της παραγραφής στο αστικό, ναυτικό και δημόσιο δίκαιο / Εμμανουήλ Μυρ. Γιαννακάκις.</t>
  </si>
  <si>
    <t>Γιαννακάκις, Εμμανουήλ Μ.</t>
  </si>
  <si>
    <t>Αθήνα Κομοτηνή : Αντ. Ν. Σάκκουλας, 2010.</t>
  </si>
  <si>
    <t>347.143 ΓιαΕ δ 2010</t>
  </si>
  <si>
    <t>Σύγχρονα ζητηματα δικαιου ακινήτων / Γεώργιος Σπ. Ευσταθόπουλος, Ελισάβετ Πούλου, Παντελής Ρεντούλης, Αλεξανδρος Π. Σπυρίδωνος με τη συνεργασία της Γιούλης Δέλλιου.</t>
  </si>
  <si>
    <t>Ευσταθόπουλος, Γεώργιος.</t>
  </si>
  <si>
    <t>347.235 ΕυσΓ σ 2019</t>
  </si>
  <si>
    <t>Ηλεκτρονική επεξεργασία του δικαίου : κριτική εισαγωγή στο διάλογο του νομικού με τον ηλεκτρονικό υπολογιστή / Νικόλαος Γ. Ιντζεσίλογλου.</t>
  </si>
  <si>
    <t>Ιντζεσίλογλου, Νικόλαος Γ.</t>
  </si>
  <si>
    <t>Θεσσαλονίκη : Παρατηρητής, 1988</t>
  </si>
  <si>
    <t>004:34 ΙντΝ η 1988</t>
  </si>
  <si>
    <t>Πολιτική δικονομία : γενικό μέρος: διαδικασία στα πρωτοβάθμια δικαστήρια / Κ.Φ. Καλαβρού.</t>
  </si>
  <si>
    <t>Καλαβρός, Κωνσταντίνος Φ.</t>
  </si>
  <si>
    <t>Αθήνα Θεσσαλονίκη : Σάκκουλα, 2012.</t>
  </si>
  <si>
    <t>347.9(495) ΚαλΚ π 2012</t>
  </si>
  <si>
    <t>Οι δημοσίου δικαίου περιορισμοί της κυριότητος και η διάκρισις τούτων από της ανγκαστικής απαλλοτριώσεως / Κωνσταντίνας Η. Κάμτσιου, Γεράσιμου Π. Μελισσηνού.</t>
  </si>
  <si>
    <t>Κάμτσιου, Κωνσταντίνα Η.</t>
  </si>
  <si>
    <t>Αθήναι : [χ.ό.], 1976.</t>
  </si>
  <si>
    <t>347.234 ΚαμΚ δ 1976</t>
  </si>
  <si>
    <t>Εργατικό δίκαιο / Αλέξανδρου Γ. Καρακατσάνη.</t>
  </si>
  <si>
    <t>Καρακατσάνης, Αλέξανδρος Γ., 1931-2000.</t>
  </si>
  <si>
    <t>2η εκδ. ενημερωμένη</t>
  </si>
  <si>
    <t>Αθήνα, 1976-</t>
  </si>
  <si>
    <t>349.2(495) ΚαρΑ ε 1976 1</t>
  </si>
  <si>
    <t>Δίκαιο προστασίας καταναλωτή : Ν 2251/1994 όπως ισχύει : ερμηνεία -νομολογία, πρακτική εφαρμογή / Ιωάννης Κ. Καρακώστας συνεργασία Απόστολος Μάνθος.</t>
  </si>
  <si>
    <t>Καράκωστας, Γιάννης Κ., 1943-.</t>
  </si>
  <si>
    <t>347:366.5 ΚαρΙ δ 2016</t>
  </si>
  <si>
    <t>Ειδικές μισθώσεις / Γιάννη Ν. Κατρά.</t>
  </si>
  <si>
    <t>Κατράς, Ιωάννης Ν.</t>
  </si>
  <si>
    <t>Αθήνα Κομοτηνή : Αντ. Σάκκουλας, 1991.</t>
  </si>
  <si>
    <t>347.453 ΚατΙ ε 1991</t>
  </si>
  <si>
    <t>Η είσπραξις των δημοσίων εσόδων / Δέσποινας Κοντού-Τσουλούφη.</t>
  </si>
  <si>
    <t>Κοντού-Τσουλούφη, Δέσποινα.</t>
  </si>
  <si>
    <t>Αθήναι : [χ.ό.], 1950-</t>
  </si>
  <si>
    <t>351.95 ΚονΔ ε 1950 2</t>
  </si>
  <si>
    <t>Έννομες σχέσεις μεταξύ Κ.Τ.Ε.Λ., ιδιοκτητών και οδηγών λεωφορειων : υπερωρίες, δανεισμός μισθωτών, οικειοθελείς παροχές / Κωνσταντίινος Δ. Κρεμαλής.</t>
  </si>
  <si>
    <t>Κρεμαλής, Κωνσταντίνος Δ.</t>
  </si>
  <si>
    <t>Αθήνα : ,[χ.ό.] 1984.</t>
  </si>
  <si>
    <t>349.2(04) ΚρεΚ ε 1984</t>
  </si>
  <si>
    <t>Αστική ευθύνη από ελαττωματικό φάρμακο : ανεπιθύμητες ενέργειες και ανεπαρκης πληροφόρηση / Βασιλικη Ν. Κρικέτου, Αικατερίνη Α. Σκουτέλη επιμέλεια - πρόλογος Δημητρα Παπαδοπουλου-Κλαμαρη.</t>
  </si>
  <si>
    <t>Κρικέτου, Βασιλική.</t>
  </si>
  <si>
    <t>Αθήνα : Π. Ν. Σάκκουλας, 2017.</t>
  </si>
  <si>
    <t>347:366.546 ΚριΒ α 2017</t>
  </si>
  <si>
    <t>Αίθουσα Αστικού και Αστικού Δικονομικου Δικαίου</t>
  </si>
  <si>
    <t>Das schweizerische Beweisrecht und der Schutz des Betriebs- und Geschaftsgeheimnisses im Zivilprozessrecht (kantonales Recht und ZPO) / Petros Liarakos.</t>
  </si>
  <si>
    <t>Λιαράκος, Πέτρος.</t>
  </si>
  <si>
    <t>Hamburg : Kovc, 2013.</t>
  </si>
  <si>
    <t>347.94(494) ΛιαΠ s 2013</t>
  </si>
  <si>
    <t>Διαζύγιον αλλοδαπών εν Ελλάδι : (νόμος 3222 άρθρ. 3) / Γεωργίου Σ. Μαριδάκη.</t>
  </si>
  <si>
    <t>Μαριδάκης, Γεώργιος Σ.</t>
  </si>
  <si>
    <t>Αθήναι : Τυπγραφείον Έστία, 1933.</t>
  </si>
  <si>
    <t>347.627 ΜαρΓ δ 1933</t>
  </si>
  <si>
    <t>Το διαζύγιον : πραγματεία ιστορική δογματική κοινωνιολογική συγκριτικού δικαίου / Σπ. Β. Μαρκεζίνη, μετά προλόγου του καθηγητού εν τω Εθνικώ Πανεπιστημίω Κωνστ. Η. Πολυγένους.</t>
  </si>
  <si>
    <t>Μαρκεζίνης, Σπυρίδων Β., 1909-2000.</t>
  </si>
  <si>
    <t>Αθήναι : Εκδ. Γεωργίυο Φέξη κ Υιού, 1933.</t>
  </si>
  <si>
    <t>347.627 ΜαρΣ δ 1933</t>
  </si>
  <si>
    <t>Διοικητική εκτέλεσις : δημόσιον λογιστικόν, παραγραφή : κείμενον, ερμηνεία, νομολογία, γνωμοδοτήσεις / Βασιλείου Π. Μαρκοσόγλου.</t>
  </si>
  <si>
    <t>Μαρκόσογλου, Βασίλειος Π.</t>
  </si>
  <si>
    <t>Αθήναι : Αφοί Π. Σάκκουλα, 1979.</t>
  </si>
  <si>
    <t>351.95 ΜαρΒ δ 1979</t>
  </si>
  <si>
    <t>Αλλοίωση της φύσης και αποδυνάμωση του δικαιώματος πνευματικής ιδιοκτησίας / Βίκτωρ Θ. Μελάς.</t>
  </si>
  <si>
    <t>Μελάς, Βίκτωρ Θ.</t>
  </si>
  <si>
    <t>Αθήνα : Διώνη, 1996.</t>
  </si>
  <si>
    <t>347.78 ΜελΒ α 1996</t>
  </si>
  <si>
    <t>Συλλογικαί συμβάσεις εργασίας και υποχρεωτική διαιτησία : θεωρία και πράξις : πλήρης νομολογία και ερμηνεία των σχετικών διατάξεων / Απόστολου Ε. Μετζητάκου, Δημοσθένους Κ. Κατσίμπα.</t>
  </si>
  <si>
    <t>Μετζητάκος, Απόστολος Ε.</t>
  </si>
  <si>
    <t>Αθήναι : [χ.ό] ,1971.</t>
  </si>
  <si>
    <t>349.213 ΜετΑ σ 1971</t>
  </si>
  <si>
    <t>Διοικητική εκτέλεση / Ιωάννη Σ. Μπρίνια.</t>
  </si>
  <si>
    <t>Μπρίνιας, Ιωάννης.</t>
  </si>
  <si>
    <t>Αθήνα : Σάκκουλας, 1987.</t>
  </si>
  <si>
    <t>351.95 ΜπρΙ δ 1987</t>
  </si>
  <si>
    <t>Κώδικας πολιτικής δικονομίας και κώδικας οργανισμού δικαστηρίων και καταστάσεως δικαστικών λειτουργών : (με τον ν. 3994/2011 και όλες τις τελευταίες τροποποιήσεις) / Ν.Θ. Νίκας, Κ.Θ. Μακρίδου.</t>
  </si>
  <si>
    <t>Αθήνα Θεσσαλονίκη : Εκδόσεις Σάκκουλας, 2011.</t>
  </si>
  <si>
    <t>347.9(495) ΝικΝ κ 2011</t>
  </si>
  <si>
    <t>Der Schutz des Eigentums an beweglichen Sachen Dritter bei Vollstreckungsversteigerungen / Nikolaos Nikolaou.</t>
  </si>
  <si>
    <t>Νικολάου, Νικόλαος.</t>
  </si>
  <si>
    <t>Baden Baden : Nomos, 1993.</t>
  </si>
  <si>
    <t>347.451.6(430) ΝικΝ σ 1993</t>
  </si>
  <si>
    <t>Συμβολαιογραφική ακυρότητα / Κ. Παναγόπουλος.</t>
  </si>
  <si>
    <t>Παναγόπουλος, Κωνσταντίνος Δ.</t>
  </si>
  <si>
    <t>Αθήνα ; Κομοτηνή : Εκδόσεις Αντ. Ν. Σάκκουλα, 1998.</t>
  </si>
  <si>
    <t>347.919.1(495) ΠανΚ σ 1998</t>
  </si>
  <si>
    <t>Ζητήματα δικαίου της αναγκαστικής εκτελέσεως : 34ο Πανελλήνιο Συνέδριο, Χίος 10-13 Σεπτεμβρίου 2009 / επιμέλεια Εμμ. Μυρ. Γιαννακάκις.</t>
  </si>
  <si>
    <t>Πανελλήνιο Συνέδριο Ενώσεως Ελλήνων Δικονομολόγων (34o : 2009 : Χίος)</t>
  </si>
  <si>
    <t>Αθήνα Κομοτηνή : Αντ. Ν. Σάκκουλα, 2010.</t>
  </si>
  <si>
    <t>347.952(063) ΠΣΕΕΔ2009 ζ 2010</t>
  </si>
  <si>
    <t>Διαπλαστικές αγωγές, ενστάσεις και αποφάσεις : Ρόδος, 9-12 Σεπτεμβρίου 2010 / Ένωση Ελλήνων Δικονομολόγων επιμέλεια Εμμαν. Μύρ. Γιαννακάκις.</t>
  </si>
  <si>
    <t>Πανελλήνιο Συνέδριο Ενώσεως Ελλήνων Δικονομολόγων (35ο : 2010 : Ρόδος)</t>
  </si>
  <si>
    <t>347.922.6(063) ΠΣΕΕΔ2010 δ 2011</t>
  </si>
  <si>
    <t>Δικονομικά ζητήματα του πτωχευτικού δικαίου : Λάρισα, 15-18 Σεπτεμβρίου 2011 / Ένωση Ελλήνων Δικονομολόγων.</t>
  </si>
  <si>
    <t>Πανελλήνιο Συνέδριο Ενώσεως Ελλήνων Δικονομολόγων (36ο : 2011 : Λάρισα)</t>
  </si>
  <si>
    <t>Αθήνα Θεσσαλονίκη : Εκδόσεις Σάκκουλα, 2012.</t>
  </si>
  <si>
    <t>347.9(495)(063) ΠΣΕΕΔ2011 δ 2012</t>
  </si>
  <si>
    <t>Ζητήματα ασφαλιστικών μέτρων : 37ο Πανελλήνιο Συνέδριο, Κεφαλλονιά 6-9 Σεπτεμβρίου 2012.</t>
  </si>
  <si>
    <t>Πανελλήνιο Συνέδριο Ενώσεως Ελλήνων Δικονομολόγων (37o : 2012 : Κεφαλλονιά)</t>
  </si>
  <si>
    <t>Αθήνα Θεσσαλονίκη : Εκδόσεις Σάκκουλα, 2013.</t>
  </si>
  <si>
    <t>347.919.6(063) ΠΣΕΕΔ2012 ζ 2013</t>
  </si>
  <si>
    <t>Παραγραφαί υπέρ και κατά δημοσίου : αναστολαί, διακοπαί αυτών: (προισχύον, ισχύον δίκαιον, νομολογία) / Βασιλείου Ι. Παπαχρήστου.</t>
  </si>
  <si>
    <t>Παπαχρήστου, Βασίλης Ι.</t>
  </si>
  <si>
    <t>Αθήναι : [Π. Κλεισιούνης], 1979.</t>
  </si>
  <si>
    <t>347.143 ΠαπΒ π 1979</t>
  </si>
  <si>
    <t>Δίκαιο υιοθεσίας και αναδοχής : μετά τον Ν 4538/2018 / Βιργινία Α. Περάκη.</t>
  </si>
  <si>
    <t>Περάκη, Βιργινία Α.</t>
  </si>
  <si>
    <t>347.633 ΠερΒ δ 2018</t>
  </si>
  <si>
    <t>Exiting European Union : Legal procedure, dimensions and implications / By Manolis Perakis.</t>
  </si>
  <si>
    <t>Περάκης, Μανώλης.</t>
  </si>
  <si>
    <t>Newcaste : Cambridge Scholars Publishing, 2019.</t>
  </si>
  <si>
    <t>34(4-672EU) ΠερΜ e 2019</t>
  </si>
  <si>
    <t>Η αδημοσίευτη μη γνήσια κοινοπραξία εκτέλεσης τεχνικού έργου : δομή και λειτουργία των εταιριών ευκαιρίας / Ευάγγελος Πουρνάρας.</t>
  </si>
  <si>
    <t>Πουρνάρας, Ευάγγελος Δ.</t>
  </si>
  <si>
    <t>347.721 ΠουΕ α 2018</t>
  </si>
  <si>
    <t>Αιθουσα Διεθνούς Δικαίου και Εμπορικού Δικαίου</t>
  </si>
  <si>
    <t>Δημόσιο διεθνές δίκαιο / Εμμανουήλ Ρούκουνας.</t>
  </si>
  <si>
    <t>Ρούκουνας, Εμμανουήλ, 1933-</t>
  </si>
  <si>
    <t>341.1/.8 ΡουΕ δ 2019</t>
  </si>
  <si>
    <t>A landscape of contemporary theories of international law / by Emmanuel Roucounas.</t>
  </si>
  <si>
    <t>341.01 ΡουΕ l 2019</t>
  </si>
  <si>
    <t>Βραχυχρόνιες μισθώσεις ακινήτων μέσω διαδικτυακής πλατφμόρμας : νομοθεσία - νομολογία - ερμηνεία - υποδείγματα / Αλέξανδρος Π. Σπυρίδωνος.</t>
  </si>
  <si>
    <t>Σπυρίδωνος, Αλέξανδρος Π.</t>
  </si>
  <si>
    <t>347.453 ΣπυΑ β 2019</t>
  </si>
  <si>
    <t>Πρόκληση βλάβης με συνεχή σκληρή συπεριφορά : άρθρο 312 Π.Κ. / Χριστίνα-Ελβίρα Στασσινού.</t>
  </si>
  <si>
    <t>Στασσινού, Χριστίνα-Ελβίρα.</t>
  </si>
  <si>
    <t>Αθήνα Θεσσαλονίκη : Σάκκουλας, 2017.</t>
  </si>
  <si>
    <t>343.615 ΣταΧ π 2017</t>
  </si>
  <si>
    <t>Προστασία δεδομένων προσωπικού χαρακτήρα : στον Χώρο Ελευθερίας, Ασφάλειας &amp; Δικαιοσύνης / Βιργινία Τζώρτζη πρόλογος Μιχάλης Δ. Χρυσομάλλης.</t>
  </si>
  <si>
    <t>Τζώρτζη, Βιργινία Γ.</t>
  </si>
  <si>
    <t>342.721(4-672EU) ΤζωΒ π 2018</t>
  </si>
  <si>
    <t>Εμπράγματον δίκαιον : κατά τον αστικόν κώδικα.</t>
  </si>
  <si>
    <t>Τούσης, Ανδρέας Χ., 1903-1979.</t>
  </si>
  <si>
    <t>Αθήναι : Τζάκας και Δελαγραμμάτικας, 1948.</t>
  </si>
  <si>
    <t>347.2 ΤουΑ ε 1948</t>
  </si>
  <si>
    <t>Αστικός κώδικας : ερμηνεια κατ'άρθρο / Νικόλαος Τριάντος.</t>
  </si>
  <si>
    <t>Τριάντος, Νικόλαος Τ.</t>
  </si>
  <si>
    <t>Αθήνα : Νομικη Βιβλιοθήκη, 2018.</t>
  </si>
  <si>
    <t>347(495) ΤριΝ α 2018 1+2</t>
  </si>
  <si>
    <t>Οι περί ενστάσεως δεδικασμένου διατάξεις του 44ου Βιβλίου των Πανδεκτών / Σπυρίδων Κ. Τσαντίνης.</t>
  </si>
  <si>
    <t>Τσαντίνης, Σπύρος, 1966-</t>
  </si>
  <si>
    <t>Αθήνα : Εκδόσεις Σάκκουλα, 2016.</t>
  </si>
  <si>
    <t>347.953(37) ΤσαΣ π 2016</t>
  </si>
  <si>
    <t>Ευρωπαϊκό ένταλμα σύλληψης : άρνηση εκτέλεσης του εντάλματος βάσει του Ν 3251/2004 / Νικολέττα Π. Τσιακουμάκη πρόλογοι: Αριστοτέλης Χαραλμπάκης, Στέφανος Παύλος.</t>
  </si>
  <si>
    <t>Τσιακουμάκη, Νικολέττα Π.</t>
  </si>
  <si>
    <t>343.125(4-672EU) TσιΝ ε 2019</t>
  </si>
  <si>
    <t>Η σύμβασις περιοδικής προσόδου : κατά το σχέδιον του αστικού και τους τοπικούς ημών κώδικας / Κωνστ. Φουρκιώτη.</t>
  </si>
  <si>
    <t>Φουρκιώτης, Κωνσταντίνος, 1905-1974.</t>
  </si>
  <si>
    <t>Εν Αθήναις : Α. Παπασπύρου, 1939.</t>
  </si>
  <si>
    <t>347.464 ΦουΚ σ 1939</t>
  </si>
  <si>
    <t>Μαθήματα αστικού δικαίου / Κωνστ. Φουρκιώτη.</t>
  </si>
  <si>
    <t>Φουρκιώτης, Κωνσταντίνος.</t>
  </si>
  <si>
    <t>Αθήναι : Παπαζήσης, 1943-1944.</t>
  </si>
  <si>
    <t>347(495) ΦουΚ μ 1944 2</t>
  </si>
  <si>
    <t>Πνευματικά δικαιώματα μετά το θάνατο του δημιουργού : ειδικά θέματα κληρονομικού, ιδιωτικού διεθνούς δικαίου και ανταγωνισμού / Κωνσταντίνος Ν. Χριστοδούλου πρόλογος: Λάμπρος Κοτσίρης.</t>
  </si>
  <si>
    <t>Χριστοδούλου, Κωνσταντίνος Ν.</t>
  </si>
  <si>
    <t>347.78 ΧριΚ π 2017</t>
  </si>
  <si>
    <t>European Yearbook of International Economic Law 2018 / editors Marc Bungenberg ...[et al.].</t>
  </si>
  <si>
    <t>Lausanne : Springer, 2019.</t>
  </si>
  <si>
    <t>346 EYIEL 2018</t>
  </si>
  <si>
    <t>Εκούσια δικαιοδοσία : θεωρία - νομολογία / επιμέλεια: Ιωάννης Χαμηλοθώρης, Χαρίλαος Κλουκίνας, Θεμιστοκλής Κλουκίνας συνεργασία : Παναγιώτα Βαφειάδου, Έλενα Γιαννοπούλου.</t>
  </si>
  <si>
    <t>Αθήνα : Νομική Βιβλιοθήκη, 2001.</t>
  </si>
  <si>
    <t>Ζητήματα δικών περί την εκτέλεση : πρακτικά της διημερίδας της Κομοτηνής (10 και 11 Δεκεμβρίου 2002) που αφιερώθηκε στην ομότιμη καθηγήτρια Πελαγία Γέσιου-Φαλτσή / εκδοτική επιμέλεια Κ. Φ. Καλαβρός σε συνεργασία με τον Αναστάσιο Ε. Ταμαμίδη.</t>
  </si>
  <si>
    <t>Αθήνα Κομοτηνή : Αντ. Ν. Σάκκουλας, 2004.</t>
  </si>
  <si>
    <t>347.952(063) ΖΔΠ2002 2004</t>
  </si>
  <si>
    <t>Η σύγχρονη δυναμική των ασφαλιστικών μέτρων : πρακτικά επιστημονικής διημερίδας 2-3 Απριλίου 1999 / επιμέλεια Δημήτρης Σκούρτης.</t>
  </si>
  <si>
    <t>Αθήνα : Νομική Βιβλιοθήκη, 1999.</t>
  </si>
  <si>
    <t>347.919.6(063) ΣΔΑ1999 1999</t>
  </si>
  <si>
    <t>Urheberrecht : Kommentar / herausgegeben von Gerhard Schricker verfasst von Adolf Dietz ... [et al.] redaktionelle Mitarbeit, Susan Hamadeh.</t>
  </si>
  <si>
    <t>3., neubearbeitete Aufl.</t>
  </si>
  <si>
    <t>München : Beck, 2006.</t>
  </si>
  <si>
    <t>347.78(430) SchG u 2006</t>
  </si>
  <si>
    <t>Αίθουσα Αστικου και Αστικού Δικονομικού Δικαίου</t>
  </si>
  <si>
    <t>Λεξικό νομικών όρων : αγγλοελληνικό-ελληνοαγγλικό.</t>
  </si>
  <si>
    <t>[Αθήνα] : Σταφυλίδης, 2010.</t>
  </si>
  <si>
    <t>34(038)=111=14 ΛΝΟ 2010</t>
  </si>
  <si>
    <t>Η ιαπωνική δικονομική σκέψη στην Ελλάδα : αφιέρωμα στο ιωβηλαιο των εκατό χρόνων ισχύος της ελληνο-ιαπωνικής σύμβασης μορφωτικών ανταλλαγών / επιμέλεια έκδοσης Κώστας Ε. Μπέης χορηγός Δημήτρης Ρούσσος.</t>
  </si>
  <si>
    <t>Αθήνα : Eunomia verlag, 1998.</t>
  </si>
  <si>
    <t>347.9(52) ΜπεΚ ι 1998</t>
  </si>
  <si>
    <t>Κώδικας πολιτικής δικονομίας : σχόλια, νομολογία / Ζόμπολα Τάσου ... [κ.ά.] ; επιμέλεια Καλαντζής Χαράλαμπος, Καραμιχαλέλης Αθανάσιος.</t>
  </si>
  <si>
    <t>Αθήνα : Νομική βιβλιοθήκη, 1991.</t>
  </si>
  <si>
    <t>347.9(495) ΚΩΔ κ 1991</t>
  </si>
  <si>
    <t>Zivilprozessgesetze : EGJN, JN, EGZPO, ZPO, MRK, B-VG und Nebengesetze : nach dem Stand vom 31.10.1991 / herausgegeben von Rudolf Stohanzl.</t>
  </si>
  <si>
    <t>6. durch. und erg. Aufl.</t>
  </si>
  <si>
    <t>Wien : Manz, 1991.</t>
  </si>
  <si>
    <t>347.9(436) StoR z 1991</t>
  </si>
  <si>
    <t>Der Prozessvergleich : Moglichkeiten, Grenzen, Forschungsperspektiven / herausgegeben von Walther Gottwald ... [et. al.].</t>
  </si>
  <si>
    <t>Koln : Bundesanzeiger, 1983.</t>
  </si>
  <si>
    <t>347.925 GotW p 1983</t>
  </si>
  <si>
    <t>Protection des auteurs et artistes interprètes par contrat : actes du congrès : Congrès 97, ALAI, septembre 14-18, Montebello = Protection of authors and performers through contracts : conference proceedings : Conference 97, ALAI / editor/redacteur Ghislain Roussel.</t>
  </si>
  <si>
    <t>Cowansville, Québec : Editions Yvon Blais, 1998.</t>
  </si>
  <si>
    <t>347.78(063) ALAI1997 p 1998</t>
  </si>
  <si>
    <t>Derecho de autor y libertad de expresión : actas de las Jornadas de Estudios ALAI = Droit d'auteur et liberté d'expression : actes des Journies d'Etude ALAi : 19-20 junio 2006, Barcelona.</t>
  </si>
  <si>
    <t>[Barcelona] : Huygens, 2008.</t>
  </si>
  <si>
    <t>347.78(063) ALAI2006 d 2008</t>
  </si>
  <si>
    <t>ALAI study days : the boundaries of copyright : its proper limitations and exceptions, University of Cambridge, 14-17 September 1998 = Journees d'Etude de l'ALAI : Les frontieres du droit d'auteur : ses limites et exceptions, Universite de Cambridge, 14-17 Septembre 1998 / editors/redacteurs Libby Baulch, Michael Green &amp; Mary Wyburn..</t>
  </si>
  <si>
    <t>Redfern, NSW : Australian Copyright Council, 1999.</t>
  </si>
  <si>
    <t>347.78(068) ALAI1998 1999</t>
  </si>
  <si>
    <t>Regional symposium on intellectual property law teaching and research in Asia and the Pacific / jointly organized by the World Intellectual Property Organization (WIPO) and the State Education Commission (SEC) of the People's Republic of China with the assistance of the United Nations Development Programme (UNDP) : Beijing, China, November 9 to 13, 1987.</t>
  </si>
  <si>
    <t>Geneva : Wipo, 1988.</t>
  </si>
  <si>
    <t>347.77(063) RGI1987 1988</t>
  </si>
  <si>
    <t>Creators' rights in the information society : ALAI Congress, September 14-17, 2003, Budapest = Les droits des créateurs dans la société de l'information : Congres de l'ALAI 14-17 septembre 2003, Budapest / [responsibility for publication Péter Báldy].</t>
  </si>
  <si>
    <t>Budapest : Több mint kiadó Szakmai partner. 2004.</t>
  </si>
  <si>
    <t>347.78(063) ALAI2003 c 2004</t>
  </si>
  <si>
    <t>Cultural diversity : its effect on authors and performers in the context of globalisation = Diversité culturelle : ses effets sur les auteurs et artistes-interprétes ou exécutants dans le contextede la mondialisation = Diversidad cultural : sus efectos sobre los autores y los artistas intérpretes o ejecutantes en el contexto de la globalizacion = Kulturna raznolikost : utjecaj na položaj autora i umjetnika izvođača u svjetlu globalizacije / Igor Gliha (editor);"Diversidad cultural.";"Kulturna raznolikost."</t>
  </si>
  <si>
    <t>Dubrovnik, Croatia : University of Zagreb Faculty of Law and the Croatian Copyright Association, 2009.</t>
  </si>
  <si>
    <t>347.78(063) ALAI2008 c 2009</t>
  </si>
  <si>
    <t>Αίθουα Αστικού και Αστικού Δικονομικού Δικαίου</t>
  </si>
  <si>
    <t>Adjuncts and alternatives to copyright : ALAI Congress, June 13-17, 2001, New York, U.S.A. / [editors, Jane C. Ginsburg, June M. Besek translation, Isabelle Aleman ... et al.] = Régimes compléntaires et concurrentiels au droit d'auteur : Congrès de l'ALAI du 13 au 17 juin 2001, New York, ⅴats Unis / [rédacteurs, Jane C. Ginsburg, June M. Besek traduction, Isabelle Aleman ... et al.].</t>
  </si>
  <si>
    <t>347.78(063) ALAI2001 a 2002</t>
  </si>
  <si>
    <t>La mise en oeuvre des droits d'auteur : le role de la legislation nationale en droit d'auteur, Congrés de Berlin, 16-19 juin 1999 = Enforcement of copyright : the role of national legislation in copyright law : Berlin congress, 16-19 June 1999 / rédacteur/editor Adolf Dietz.</t>
  </si>
  <si>
    <t>Munich : Association littéraire et artistique internationale, 2000.</t>
  </si>
  <si>
    <t>347.78(063) ALAI1999 m 2000</t>
  </si>
  <si>
    <t>ALAI copyright-internet world : report on the Neuchâtel study session, 16-17 September 2002 / rédacteur/editor Paul Brügger.;"Copyright-Internet world"</t>
  </si>
  <si>
    <t>Lausanne Bern : ALAI, 2003.</t>
  </si>
  <si>
    <t>347.78(063) ALAI2002 a 2003</t>
  </si>
  <si>
    <t>WIPO Worldwide Forum on the Impact of Emerging Technologies on the Law of Intellectual Property, Geneva, September 14 to 16 1988 : Geneva, September 14 to 16, 1988 / [director general] Arpad Bogsch.</t>
  </si>
  <si>
    <t>Geneva : WIPO, 1989.</t>
  </si>
  <si>
    <t>347.77(063) WWF1988 1989</t>
  </si>
  <si>
    <t>Alternativen in der Ziviljustiz : Berichte, Analysen, Perspektiven / herausgegeben von Erhard Blankenburg, Walther Gottwald und Dieter Strempel.</t>
  </si>
  <si>
    <t>Köln : Bundesanzeiger, 1982.</t>
  </si>
  <si>
    <t>347.9(430) BlaE a 1982</t>
  </si>
  <si>
    <t>Global copyright : three hundred years since the Statute of Anne, from 1709 to cyberspace / edited by Lionel Bently, Uma Suthersanen and Paul Torremans.</t>
  </si>
  <si>
    <t>Cheltenham, UK Northampton, MA : Edward Elgar, 2010.</t>
  </si>
  <si>
    <t>347.78(091) BenL g 2010</t>
  </si>
  <si>
    <t>Droit international social : droits économiques, sociaux et culturels / sous la direction de Jean-Marc Thouvenin et Anne Trebilcock.</t>
  </si>
  <si>
    <t>Bruxelles : Bruylant [Paris] : CEDIN, 2013.</t>
  </si>
  <si>
    <t>Kommentar zum europäischen Arbeitsrecht / hrsg. von Dr. Martin Franzen, Inken Gallner, Hartmut Oetker.</t>
  </si>
  <si>
    <t>München : Verlag C.H. Beck, 2020.</t>
  </si>
  <si>
    <t>349.2(430) FraM k 2020</t>
  </si>
  <si>
    <t>Konzernarbeitsrecht : Handbuch / herausgegeben von Axel Braun, Gerlind Wisskirchen.</t>
  </si>
  <si>
    <t>Munchen : Beck, 2015.</t>
  </si>
  <si>
    <t>349.2(430) BraA k 2015</t>
  </si>
  <si>
    <t>The economic and financial crisis and collective labour law in Europe / edited by Niklas Bruun, Klaus Lörcher and Isabelle Schömann.</t>
  </si>
  <si>
    <t>Oxford, United Kingdom : Hart Publishing, 2016.</t>
  </si>
  <si>
    <t>349.2(4-672EU) BruN e 2016</t>
  </si>
  <si>
    <t>Tarifvertragsgesetz : mit Arbeitnehmer-Entsendegesetz / Wolfgang Däubler (Hrsg.)</t>
  </si>
  <si>
    <t>Baden-Baden : Nomos, 2016.</t>
  </si>
  <si>
    <t>349.213 DauW t 2016</t>
  </si>
  <si>
    <t>Λεξικό εγκληματολογίας / επιμελητές έκδοσης και συγγραφείς προλόγου Καλλιόπη Δ. Σπινέλλη, Νέστωρ Ε. Κουράκης, Μαρία Π. Κρανιδιώτη.</t>
  </si>
  <si>
    <t>Αθήνα : Τόπος c2018.</t>
  </si>
  <si>
    <t>343.9(038)=14 ΣπιΚ λ 2018</t>
  </si>
  <si>
    <t>Ευρωπαϊκή Σύμβαση δικαιωμάτων του ανθρώπου (ΕΣΔΑ) : και των πρτωτοκόλλων υπ΄αριθμ. 1, 6, 7 &amp; 13 : μία συνοπτική ερμηνεία / Μιχαήλ Μαραγρίτης.</t>
  </si>
  <si>
    <t>343.211.3 ΜαρΜ ε 2019</t>
  </si>
  <si>
    <t>Ηλεκτρονικό έγκλημα / επιμέλεια: Θεοχάρης Ι. Δαλακούρας.</t>
  </si>
  <si>
    <t>343:004.738.5 ΔαλΘ η 2019</t>
  </si>
  <si>
    <t>Ο Νέος κώδικας ποινικής δικονομίας : μια πρώτη ερμηνευτική προσέγγιση του Ν. 4620/2019 / [επιμελητής] Θεοχάρης Ι. Δαλακούρας.</t>
  </si>
  <si>
    <t>343.1(495) ΚΩΔ ΔαλΘ ν 2019</t>
  </si>
  <si>
    <t>The Oxford handbook of criminal process / edited by Darryl K. Brown, Jenia I. Turner and Bettina Weisser.</t>
  </si>
  <si>
    <t>New York, NY : Oxford University Press, 2019.</t>
  </si>
  <si>
    <t>343.1(4-672EU) BroD o 2019</t>
  </si>
  <si>
    <t>Αίθουσα Ποινικού Διακίου και Εργατικού Δικαίου</t>
  </si>
  <si>
    <t>Εργατική νομοθεσία: ατομικές εργασιακές σχέσεις - συλλογικές εργασιακές σχέσεις: ενημέρωση μέχρι και τον Ν. 4564/2018 / επιμέλεια Ιωάννης Ληξουριώτης.</t>
  </si>
  <si>
    <t>349.2(495)(094.5) ΛηξΙ ε 2018</t>
  </si>
  <si>
    <t>La contrefaçon des oeuvres de l'ésprit : de la piraterie traditionnelle á la responsabilité d'Ínternet = Infringement of Works of Autorship : from Traditional Piracy to the Liability of Internet Enterprises = Violación de las obras de autoría : de la piretería tradicional a la responsabilidad de la empresas en Internet : jornadas de estudio : 7 a 10 de junio, 2004, Oaxaca / ALAI : Asociación Literaria y Artística Internacional.</t>
  </si>
  <si>
    <t>México : ALAI, [2005]</t>
  </si>
  <si>
    <t>347.78(063) ALAI2004 c 2005</t>
  </si>
  <si>
    <t>Ανθρωπολογία και συμβολισμός στην Ελλάδα / επιμέλεια: Ελευθέριος Αλεξάκης, Μαρία Βραχιονίδου, Ανδρομάχη Οικονόμου.</t>
  </si>
  <si>
    <t>Αθήνα : Ελληνική Εταιρεία Εθνολογίας, 2008.</t>
  </si>
  <si>
    <t>39(495) ΑλεΕ α 2008</t>
  </si>
  <si>
    <t>Αίθουσα Ιστορίας, Θεωρίας και Φιλοσοφίας Δικαίου</t>
  </si>
  <si>
    <t>Τεχνολογία &amp; ιατρικώς υποβοηθουμενη αναπαραγωγη : [πρακτικά συνεδρίου] / επιμέλεια: Κ. Κηπουριδου, Μ. Μηλαπίδου.</t>
  </si>
  <si>
    <t>347.611(063) ΚηπΚ τ 2019</t>
  </si>
  <si>
    <t>Δίκαιο πληροφορικής &amp; διαδικτύου : νομοθετικά κείμενα / επιμέλεια: Ιωάννης Δ. Ιγγλεζάκης.</t>
  </si>
  <si>
    <t>Αθήνα Θεσσαλονίκη : Εκδ. Σάκκουλα, 2019.</t>
  </si>
  <si>
    <t>34:004(495) ΚΩΔ ΔΠΠ 2019</t>
  </si>
  <si>
    <t>Comparative labour law and industrial relations in industrialized market economies / editor, R. Blanpain J. Baker ... [et al.].</t>
  </si>
  <si>
    <t>6th and rev. ed.</t>
  </si>
  <si>
    <t>Alphen aan den Rijn, The Netherlands : Kluwer Law International, 2014.</t>
  </si>
  <si>
    <t>349.2(4) BlaR c 2014</t>
  </si>
  <si>
    <t>European health law / André den Exter (ed.).</t>
  </si>
  <si>
    <t>Antwerpen : Maklu, 2017.</t>
  </si>
  <si>
    <t>34:614(4) ExtA e 2017</t>
  </si>
  <si>
    <t>Public health law and ethics : a reader / edited by Lawrence O. Gostin and Lindsay F. Wiley.</t>
  </si>
  <si>
    <t>Oakland, California : University of California Press, [2018]</t>
  </si>
  <si>
    <t>34:614 GosL p 2018</t>
  </si>
  <si>
    <t>The impact of EU law on health care systems / Martin McKee, Elias Mossialos &amp; Rita Baeten (eds.)</t>
  </si>
  <si>
    <t>2nd printing</t>
  </si>
  <si>
    <t>Bruxelles : P.I.E.-Peter Lang, 2003.</t>
  </si>
  <si>
    <t>La victime / textes réunis par Jacqueline Hoareau-Dodinau, Guillaume Métairie, Pascal Texier.</t>
  </si>
  <si>
    <t>Limoges : Pulim, [2008]-2009.</t>
  </si>
  <si>
    <t>343.988 HoaJ v 2008 1</t>
  </si>
  <si>
    <t>343.988 HoaJ v 2009 2</t>
  </si>
  <si>
    <t>Histoires de famille : à la convergence du droit pénal et des liens de parenté : actes du Colloque International des 19-21 juin 2008 Faculté de Droit de Montepellier / textes reunis par Leah Otis-Cour.</t>
  </si>
  <si>
    <t>Limoges : Pulim, 2012.</t>
  </si>
  <si>
    <t>343.54(091)(063) HF2008 2012</t>
  </si>
  <si>
    <t>L'absence : du cas de l'absent à la théorie de l'absence / textes réunis par Jacqueline Hoareau-Dodinau, Guillaume Métairie.</t>
  </si>
  <si>
    <t>Limoges : Pulim, 2011.</t>
  </si>
  <si>
    <t>34:39 HoaJ a 2011</t>
  </si>
  <si>
    <t>Methods of comparative law / edited by Pier Giuseppe Monateri.</t>
  </si>
  <si>
    <t>Cheltenham, U.K. ; Northampton, MA : Edward Elgar Pub., c2012</t>
  </si>
  <si>
    <t>340.5 MonP m 2012</t>
  </si>
  <si>
    <t>37.013.43(4) ΣΕ r 2018 1-3</t>
  </si>
  <si>
    <t>341.231.14(4-672EU) ΟΘΔΕΕ ε 2014</t>
  </si>
  <si>
    <t>347.9(430) HacW e 1995</t>
  </si>
  <si>
    <t>340.5(4) LasM j 2004</t>
  </si>
  <si>
    <t>347.919.6 ManM b 1986</t>
  </si>
  <si>
    <t>Esquisse d'une theorie generale de la magie / Marcel Mauss</t>
  </si>
  <si>
    <t>347.927(430) SeeH p 1980</t>
  </si>
  <si>
    <t>Koln ; Heymann, 1980.</t>
  </si>
  <si>
    <t>New York, NY : Columbia University School of Law, c2002.</t>
  </si>
  <si>
    <t>349.28 ThoJ d 2013 1+2</t>
  </si>
  <si>
    <t>Sociologie et anthropologie / Marcel Mauss ; εισαγωγή Claude Levi-Strauss ; μετάφραση-επιμέλεια Θεόδωρος Παραδέλλης."</t>
  </si>
  <si>
    <t>347.919.1 ΧαμΙ ε 2001 1+2</t>
  </si>
  <si>
    <t>Allgemeines Gleichbehandlungsgesetz (AGG) : ein Kommentar aus europäischer Perspektive / kommentiert von Eva Kocher ... [et al.].")</t>
  </si>
  <si>
    <t>Schiek, Dagmar (hrsg.)</t>
  </si>
  <si>
    <t>Angestelltenversicherungsgesetz;""Angestelltenversicherungsgesetz mit Sozialgesetzbuch : Textausgabe mit den wichtigsten Nebengesetzen und Verordnungen</t>
  </si>
  <si>
    <t>Big data, health law, and bioethics / edited by I. Glenn Cohen, Holly Fernandez Lynch, Effy Vayena, Urs Gasser</t>
  </si>
  <si>
    <t>Cohen, Glenn I. (ed.)</t>
  </si>
  <si>
    <t>Compte rendu du congres 29 mai / 3 juin 1978 = Congres du centenaire (1878-1978) = Centerary congress (1878-1978)</t>
  </si>
  <si>
    <t>Association Littéraire et Artistique Internationale</t>
  </si>
  <si>
    <t>347.78(063) ALAI1978 1978</t>
  </si>
  <si>
    <t>Creative ideas for intellectual property : the ATRIP papers 2000-2001 = Des idées innovatrices pour la propriété intellectuelle : rapports ATRIP 2000-2001 / edited by François Dessemontet and Raphaël Gani</t>
  </si>
  <si>
    <t>Dessemontet, François (ed.)</t>
  </si>
  <si>
    <t>Das Recht des unlauteren Wettbewerbs in den Mitgliedstaaten der Europaischen Wirtschaftsgemeinschaft : Gutachten, erstattet im Auftrag der Kommission der Europaischen Wirtschaftsgemeinschaft vom Institut fur auslandisches und internationales Patent-, Urhe"&amp;"ber- und Markenrecht der Universitat Munchen / herausgegeben von Eugen Ulmer</t>
  </si>
  <si>
    <t>Ulmer, Eugen (hrsg.)</t>
  </si>
  <si>
    <t>Datenschutzrecht in Bund und Ländern : Grundlagen, bereichsspezifischer Datenschutz, BDSG : Kommentar</t>
  </si>
  <si>
    <t>Wolff, Heinrich Amadeus ... [et al] (hrsg.)</t>
  </si>
  <si>
    <t>De jure pacis commentarius French : commentaire sur le droit de la paix / Pierre Goudelin ; introduction et notes de Dominique Gaurier</t>
  </si>
  <si>
    <t>Europarecht : Textsammlung / herausg. von Matthias Pechstein und Ronny Dömrose</t>
  </si>
  <si>
    <t>Pechstein, Matthias (hrsg.)</t>
  </si>
  <si>
    <t>Europarecht : Textsammlung / Matthias Pechstein und Ronny Dömrose</t>
  </si>
  <si>
    <t>Pechstein, Matthias</t>
  </si>
  <si>
    <t>Festschrift 100 Jahre GmbH-Gesetz / herausgegeben von Marcus Lutter, Peter Ulmer, Wolfgang Zollner</t>
  </si>
  <si>
    <t>Geneva Treaty on the International Recording of Scientific Discoveries : adopted at Geneva on March 3, 1978</t>
  </si>
  <si>
    <t>Health care and EU law / Johan Willem van de Gronden ... [et al.], editors.</t>
  </si>
  <si>
    <t>Willem van de Gronden, Johan (ed.)</t>
  </si>
  <si>
    <t>Health systems governance in Europe : the role of European Union law and policy / edited by Elias Mossialos ... [et al.].</t>
  </si>
  <si>
    <t>Mossialos, Elias (ed.)</t>
  </si>
  <si>
    <t>Healthcare ethics, law and professionalism: essays on the works of Alastair V. Campbell / edited by Voo Teck Chuan, Richard Huxtable, Nicola Peart.</t>
  </si>
  <si>
    <t>Chuan, Voo Teck (ed.)</t>
  </si>
  <si>
    <t>Abingdon, Oxon   New York, NY : Routledge, 2019.</t>
  </si>
  <si>
    <t>Kapitalmarktrecht / von Petra Buck-Heeb</t>
  </si>
  <si>
    <t>La protection des idées : journées d'étude, Sitges, 4-7 octobre, 1992 = The protection of ideas : workshop, Sitges, october, 4-7, 1992 = La protección de las ideas : jornadas de estudio, Sitges 4-7 octubre, 1992 / Association Littéraire et Artistique Internationale</t>
  </si>
  <si>
    <t>La religiosité du droit :/ textes réunis par Jacqueline Hoareau-Dodinau, Guillaume Métairie</t>
  </si>
  <si>
    <t>Hoareau-Dodinau, Jacqueline</t>
  </si>
  <si>
    <t>L'Afrique ancienne : de l'Acacus au Zimbabwe : 20000 avant notre ère-XVIIe siècle / François-Xavier Fauvelle (dir.), Damien Agut ... [κ. ά].</t>
  </si>
  <si>
    <t>Fauvelle, François-Xavier (dir.)</t>
  </si>
  <si>
    <t>Law and opera / Filippo Annunziata, Giorgio Fabio Colombo editors</t>
  </si>
  <si>
    <t>Annunziata, Filippo</t>
  </si>
  <si>
    <t>Law and the visual :  representations, technologies, and critique /  edited by Desmond Manderson</t>
  </si>
  <si>
    <t>Manderson, Desmond (ed.)</t>
  </si>
  <si>
    <t>Le pardon / textes réunis par Jacqueline Hoareau-Dodinau, Xavier Rousseaux et Pascal Texier</t>
  </si>
  <si>
    <t>L'évolution des modes de preuve : du duel de Carrouges à nos jours</t>
  </si>
  <si>
    <t>Hervouët, Blandine (ed.)</t>
  </si>
  <si>
    <t>L'importance écomomique du droit d'auteur : problèmes pocés par la distribution d'exemplaires d'ouuvres protégées par le droit d'auteur : (droit de destination -droit de distribution - épuisement de droit) = The economic importance of copyright : issues involving the distribution of exempars of copyrigth-protected works : (droit de destination-distribution right-exhaustion)</t>
  </si>
  <si>
    <t>L'offense : du  torrent de boue  à l'offense au chef de l'État : [XXIXe Journées d'histoire du droit] / textes réunis par Jacqueline Hoareau-Dodinau et Guillaume Métairie</t>
  </si>
  <si>
    <t>Model law concerning the protection of performers, producers of phonograms and broadcasting organizations, with a commentary on it / [Intergovernmental Committee of the International Convention of Rome for the Protection of Performers, Producers of Phonog"&amp;"rams and Broadcasting Organizations]</t>
  </si>
  <si>
    <t>Geneva : ILO, 1974</t>
  </si>
  <si>
    <t>New Forms of Employment in Europe / editors Roger Blanpain, Frank Hendrickx ; guest editor Bernd Waas ; contributors José Joao Abrantes... [et al.]</t>
  </si>
  <si>
    <t>Blanpain, Roger (ed.)</t>
  </si>
  <si>
    <t>Journees d'Histoire du Droit (25st : 2005 : Limoges, France)</t>
  </si>
  <si>
    <t>Protection of employees' personal information and privacy / general editor Roger Blanpain ; guest editors Hiroya Nakakubo, Takashi Araki ; contributors Diego Álvarez Alonso... [et al.]</t>
  </si>
  <si>
    <t>Rechtstatsachenforschung und Kriminologie : empir. Forschung in Zivil- u. Strafrecht / herausgegeben von Oskar Hartwieg und dem Bundesministerium der Justiz.</t>
  </si>
  <si>
    <t>Hartwieg, Oskar (ed.)</t>
  </si>
  <si>
    <t>Symposium on intellectual property, University and industry in Latin America  = simposio sobre propiedad intelectual, Universidad e industria en America Latina, San Jose, 17 a 21 de septiembre de 1990 / organizado por la Organización Mundial de la Propiedad Intelectual (OMPI) y la Asociación Internacional para el Progreso de la Ensenanza y la Investigacion de la Propiedad Intelectual (AtRIP) con la colaboracion de la Universidad de Costa Rica</t>
  </si>
  <si>
    <t>Temporary agency work in the European Union and  the United States / editor Roger Blanpain ; guest editor Frank Hendrickx</t>
  </si>
  <si>
    <t>The Constitution of the United States of America</t>
  </si>
  <si>
    <t>The Oxford handbook of legal history / edited by Markus D. Dubber and Christopher Tomlins</t>
  </si>
  <si>
    <t>Dubber, Markus D. (ed.)</t>
  </si>
  <si>
    <t>Theorie und Praxis der Kartelle</t>
  </si>
  <si>
    <t>Barnikel, Hans-Heinrich (hrsg.)</t>
  </si>
  <si>
    <t>Unterhaltsrecht in Europa : eine Zwölf-Länder-Studie / herausg. von Peter Dopffel und Bernd Buchhofer</t>
  </si>
  <si>
    <t>Dopffel, Peter (hrsg.)</t>
  </si>
  <si>
    <t>Urhebervertragsrecht : Festgabe fur Gerhard Schricker zum 60. Geburtstag / herausgegeben von Friedrich-Karl Beier .. [u. a.].</t>
  </si>
  <si>
    <t>Beier, Friedrich-Karl (ed.)</t>
  </si>
  <si>
    <t>Verfassungsgerichtsbarkeit / hrsg. von Peter Häberle</t>
  </si>
  <si>
    <t>Häberle, Peter (hrsg.)</t>
  </si>
  <si>
    <t>Wiener Abkommen vom 12. Juni 1973 über den Schutz typographischer Schriftzeichen und ihre internationale Hinterlegung und das Protokoll zum wiener Abkommen über den Schutz typographischer Schriftzeichen und ihre internationale Hinterlegung unterzeichnet in Wien am 12. Juni 1973.</t>
  </si>
  <si>
    <t>Zivilprozessordnung : mit Einführungsgesetz, Unterlassungsklagengesetz Schuldnerverzeichnisverordnung Gerichtsverfassungsgesetz mit EinführungsG (Auszug), Gesetz über die Zwangsversteigerung und die Zwangsverwaltung (Auszug), VO (EG) Nr.44/2001 des Rates über die gerichtliche Zuständigkeit und die Anerkennung und Vollstreckung von Entscheidungen in Zivil-und Handelssachen Anerkennungs- und VollstreckungausführungsG (Auszug) Rechtspflegergesetz Gerichtskostengesetz (Auszug) Bundesgebührendordnung für Rechtsanwalte (Auszug) Gesetz über die Entschädigung von Zeugen und Sachverständigen / Textausgabe mit ausführlichem Sachverzeichnis und einer Einführung von Peter Gottwald</t>
  </si>
  <si>
    <t>Gottwald, Peter (hrsg.)</t>
  </si>
  <si>
    <t>München : Deutscher Taschenbuch Verlag : Beck, 2002.</t>
  </si>
  <si>
    <t>Η νομική θέσις του παραγωγού κινηματογραφικών έργων / Σπυρίδων Γ. Πατρινός ; Εθνικό και Καποδιστριακό Πανεπιστήμιο Αθηνών. Νομική Σχολή</t>
  </si>
  <si>
    <t>Πατρινός, Σπυρίδων Γ.</t>
  </si>
  <si>
    <t>Μνήμη Θανάση Κ. Παπαχρίστου / συντακτική επιτροπή Διονυσία Καλλινίκου ... [κ.ά.]</t>
  </si>
  <si>
    <t>34(082.2) ΠαπΘ μ 2019 1+2</t>
  </si>
  <si>
    <t>Ο ευρωπαϊκός συνταγματισμός και η κρίση του / Thomas Giegerich ... [κ. ά.], πρόλογος Μ. Χρυσομάλλης</t>
  </si>
  <si>
    <t>Giegerich, Thomas … [at al.]</t>
  </si>
  <si>
    <t>Πολιτισμός, πνευματική Ιδιοκτησία και κοινωνία της πληροφορίας : ευρωπαϊκή διάσκεψη στο πλαίσιο της Ελληνικής Προεδρίας 7-8 Απριλιου 2003, Αθήνα = Culture, copyright and information society : european conference in the framework of the Hellenic Presidency"&amp;" 7th-8th April 2003, Athens / διοργάνωση Υπουργειο Πολιτισμού, Διεύθυνση Ευρωπαϊκής Ένωσης, Οργανισμός Πνευματικής Ιδιοκτησίας</t>
  </si>
  <si>
    <t>347.1 ΚουΝ σ 1969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</si>
</sst>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h:mm:ss"/>
  </numFmts>
  <fonts count="7" x14ac:knownFonts="1">
    <font>
      <sz val="11"/>
      <color theme="1"/>
      <name val="Calibri"/>
      <family val="2"/>
      <charset val="161"/>
      <scheme val="minor"/>
    </font>
    <font>
      <b/>
      <sz val="11"/>
      <color theme="1"/>
      <name val="Arial Narrow"/>
      <family val="2"/>
      <charset val="161"/>
    </font>
    <font>
      <sz val="11"/>
      <color theme="1"/>
      <name val="Arial Narrow"/>
      <family val="2"/>
      <charset val="161"/>
    </font>
    <font>
      <sz val="11"/>
      <name val="Arial Narrow"/>
      <family val="2"/>
      <charset val="161"/>
    </font>
    <font>
      <sz val="11"/>
      <color indexed="8"/>
      <name val="Arial Narrow"/>
      <family val="2"/>
      <charset val="161"/>
    </font>
    <font>
      <sz val="12"/>
      <color indexed="8"/>
      <name val="Arial Narrow"/>
      <family val="2"/>
      <charset val="161"/>
    </font>
    <font>
      <sz val="10"/>
      <name val="Arial"/>
      <family val="2"/>
      <charset val="161"/>
    </font>
  </fonts>
  <fills count="9">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164"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9"/>
  <sheetViews>
    <sheetView tabSelected="1" topLeftCell="A148" workbookViewId="0">
      <selection activeCell="F95" sqref="F95"/>
    </sheetView>
  </sheetViews>
  <sheetFormatPr defaultRowHeight="16.5" x14ac:dyDescent="0.25"/>
  <cols>
    <col min="1" max="1" width="82.140625" style="18" customWidth="1"/>
    <col min="2" max="2" width="37.85546875" style="19" customWidth="1"/>
    <col min="3" max="3" width="13.5703125" style="19" customWidth="1"/>
    <col min="4" max="4" width="28.5703125" style="19" customWidth="1"/>
    <col min="5" max="5" width="29.5703125" style="19" customWidth="1"/>
    <col min="6" max="6" width="31.7109375" style="19" customWidth="1"/>
    <col min="7" max="7" width="29.5703125" style="19" customWidth="1"/>
    <col min="8" max="16384" width="9.140625" style="19"/>
  </cols>
  <sheetData>
    <row r="1" spans="1:6" s="17" customFormat="1" ht="33" x14ac:dyDescent="0.25">
      <c r="A1" s="1" t="s">
        <v>4</v>
      </c>
      <c r="B1" s="2" t="s">
        <v>5</v>
      </c>
      <c r="C1" s="3" t="s">
        <v>2</v>
      </c>
      <c r="D1" s="4" t="s">
        <v>3</v>
      </c>
      <c r="E1" s="5" t="s">
        <v>0</v>
      </c>
      <c r="F1" s="3" t="s">
        <v>1</v>
      </c>
    </row>
    <row r="2" spans="1:6" ht="49.5" x14ac:dyDescent="0.25">
      <c r="A2" s="6" t="s">
        <v>709</v>
      </c>
      <c r="B2" s="7" t="s">
        <v>2599</v>
      </c>
      <c r="C2" s="7" t="s">
        <v>155</v>
      </c>
      <c r="D2" s="7" t="s">
        <v>710</v>
      </c>
      <c r="E2" s="7" t="s">
        <v>711</v>
      </c>
      <c r="F2" s="7" t="s">
        <v>13</v>
      </c>
    </row>
    <row r="3" spans="1:6" ht="33" x14ac:dyDescent="0.25">
      <c r="A3" s="6" t="s">
        <v>249</v>
      </c>
      <c r="B3" s="7" t="s">
        <v>248</v>
      </c>
      <c r="C3" s="7"/>
      <c r="D3" s="7" t="s">
        <v>250</v>
      </c>
      <c r="E3" s="7" t="s">
        <v>251</v>
      </c>
      <c r="F3" s="7" t="s">
        <v>13</v>
      </c>
    </row>
    <row r="4" spans="1:6" ht="33" x14ac:dyDescent="0.25">
      <c r="A4" s="6" t="s">
        <v>1010</v>
      </c>
      <c r="B4" s="7" t="s">
        <v>1011</v>
      </c>
      <c r="C4" s="7"/>
      <c r="D4" s="7" t="s">
        <v>1012</v>
      </c>
      <c r="E4" s="7" t="s">
        <v>1013</v>
      </c>
      <c r="F4" s="7" t="s">
        <v>74</v>
      </c>
    </row>
    <row r="5" spans="1:6" ht="49.5" x14ac:dyDescent="0.25">
      <c r="A5" s="6" t="s">
        <v>2455</v>
      </c>
      <c r="B5" s="7" t="s">
        <v>2456</v>
      </c>
      <c r="C5" s="7"/>
      <c r="D5" s="7" t="s">
        <v>2457</v>
      </c>
      <c r="E5" s="7" t="s">
        <v>2458</v>
      </c>
      <c r="F5" s="7" t="s">
        <v>26</v>
      </c>
    </row>
    <row r="6" spans="1:6" ht="33" x14ac:dyDescent="0.25">
      <c r="A6" s="6" t="s">
        <v>1167</v>
      </c>
      <c r="B6" s="7" t="s">
        <v>1168</v>
      </c>
      <c r="C6" s="7"/>
      <c r="D6" s="7" t="s">
        <v>1169</v>
      </c>
      <c r="E6" s="7" t="s">
        <v>1170</v>
      </c>
      <c r="F6" s="7" t="s">
        <v>13</v>
      </c>
    </row>
    <row r="7" spans="1:6" ht="33" x14ac:dyDescent="0.25">
      <c r="A7" s="6" t="s">
        <v>605</v>
      </c>
      <c r="B7" s="7" t="s">
        <v>604</v>
      </c>
      <c r="C7" s="7"/>
      <c r="D7" s="7" t="s">
        <v>606</v>
      </c>
      <c r="E7" s="7" t="s">
        <v>607</v>
      </c>
      <c r="F7" s="7" t="s">
        <v>13</v>
      </c>
    </row>
    <row r="8" spans="1:6" ht="33" x14ac:dyDescent="0.25">
      <c r="A8" s="6" t="s">
        <v>1527</v>
      </c>
      <c r="B8" s="7" t="s">
        <v>1528</v>
      </c>
      <c r="C8" s="7"/>
      <c r="D8" s="7" t="s">
        <v>1529</v>
      </c>
      <c r="E8" s="7" t="s">
        <v>1530</v>
      </c>
      <c r="F8" s="7" t="s">
        <v>13</v>
      </c>
    </row>
    <row r="9" spans="1:6" ht="33" x14ac:dyDescent="0.25">
      <c r="A9" s="6" t="s">
        <v>994</v>
      </c>
      <c r="B9" s="7" t="s">
        <v>995</v>
      </c>
      <c r="C9" s="7"/>
      <c r="D9" s="7" t="s">
        <v>996</v>
      </c>
      <c r="E9" s="7" t="s">
        <v>997</v>
      </c>
      <c r="F9" s="7" t="s">
        <v>13</v>
      </c>
    </row>
    <row r="10" spans="1:6" ht="33" x14ac:dyDescent="0.25">
      <c r="A10" s="6" t="s">
        <v>2370</v>
      </c>
      <c r="B10" s="7" t="s">
        <v>2371</v>
      </c>
      <c r="C10" s="7"/>
      <c r="D10" s="7" t="s">
        <v>2293</v>
      </c>
      <c r="E10" s="7" t="s">
        <v>2372</v>
      </c>
      <c r="F10" s="7" t="s">
        <v>2373</v>
      </c>
    </row>
    <row r="11" spans="1:6" ht="33" x14ac:dyDescent="0.25">
      <c r="A11" s="6" t="s">
        <v>1274</v>
      </c>
      <c r="B11" s="7" t="s">
        <v>1275</v>
      </c>
      <c r="C11" s="7"/>
      <c r="D11" s="7" t="s">
        <v>1276</v>
      </c>
      <c r="E11" s="7" t="s">
        <v>1277</v>
      </c>
      <c r="F11" s="7" t="s">
        <v>966</v>
      </c>
    </row>
    <row r="12" spans="1:6" ht="49.5" x14ac:dyDescent="0.25">
      <c r="A12" s="6" t="s">
        <v>2093</v>
      </c>
      <c r="B12" s="7" t="s">
        <v>2094</v>
      </c>
      <c r="C12" s="7" t="s">
        <v>1629</v>
      </c>
      <c r="D12" s="7" t="s">
        <v>2095</v>
      </c>
      <c r="E12" s="7" t="s">
        <v>2096</v>
      </c>
      <c r="F12" s="7" t="s">
        <v>57</v>
      </c>
    </row>
    <row r="13" spans="1:6" ht="33" x14ac:dyDescent="0.25">
      <c r="A13" s="6" t="s">
        <v>138</v>
      </c>
      <c r="B13" s="7" t="s">
        <v>139</v>
      </c>
      <c r="C13" s="7"/>
      <c r="D13" s="7" t="s">
        <v>137</v>
      </c>
      <c r="E13" s="7" t="s">
        <v>136</v>
      </c>
      <c r="F13" s="7" t="s">
        <v>13</v>
      </c>
    </row>
    <row r="14" spans="1:6" ht="33" x14ac:dyDescent="0.25">
      <c r="A14" s="6" t="s">
        <v>990</v>
      </c>
      <c r="B14" s="7" t="s">
        <v>991</v>
      </c>
      <c r="C14" s="7" t="s">
        <v>155</v>
      </c>
      <c r="D14" s="7" t="s">
        <v>992</v>
      </c>
      <c r="E14" s="7" t="s">
        <v>993</v>
      </c>
      <c r="F14" s="7" t="s">
        <v>13</v>
      </c>
    </row>
    <row r="15" spans="1:6" ht="33" x14ac:dyDescent="0.25">
      <c r="A15" s="6" t="s">
        <v>1127</v>
      </c>
      <c r="B15" s="7" t="s">
        <v>1128</v>
      </c>
      <c r="C15" s="7"/>
      <c r="D15" s="7" t="s">
        <v>1129</v>
      </c>
      <c r="E15" s="7" t="s">
        <v>1130</v>
      </c>
      <c r="F15" s="7" t="s">
        <v>13</v>
      </c>
    </row>
    <row r="16" spans="1:6" ht="33" x14ac:dyDescent="0.25">
      <c r="A16" s="6" t="s">
        <v>2433</v>
      </c>
      <c r="B16" s="7" t="s">
        <v>2434</v>
      </c>
      <c r="C16" s="7"/>
      <c r="D16" s="7" t="s">
        <v>2435</v>
      </c>
      <c r="E16" s="7" t="s">
        <v>2436</v>
      </c>
      <c r="F16" s="7" t="s">
        <v>145</v>
      </c>
    </row>
    <row r="17" spans="1:6" ht="33" x14ac:dyDescent="0.25">
      <c r="A17" s="6" t="s">
        <v>1269</v>
      </c>
      <c r="B17" s="7" t="s">
        <v>1270</v>
      </c>
      <c r="C17" s="7" t="s">
        <v>1271</v>
      </c>
      <c r="D17" s="7" t="s">
        <v>1272</v>
      </c>
      <c r="E17" s="7" t="s">
        <v>1273</v>
      </c>
      <c r="F17" s="7" t="s">
        <v>13</v>
      </c>
    </row>
    <row r="18" spans="1:6" ht="49.5" x14ac:dyDescent="0.25">
      <c r="A18" s="6" t="s">
        <v>1729</v>
      </c>
      <c r="B18" s="7" t="s">
        <v>1730</v>
      </c>
      <c r="C18" s="7"/>
      <c r="D18" s="7" t="s">
        <v>1731</v>
      </c>
      <c r="E18" s="7" t="s">
        <v>1732</v>
      </c>
      <c r="F18" s="7" t="s">
        <v>57</v>
      </c>
    </row>
    <row r="19" spans="1:6" ht="33" x14ac:dyDescent="0.25">
      <c r="A19" s="6" t="s">
        <v>1961</v>
      </c>
      <c r="B19" s="7" t="s">
        <v>1962</v>
      </c>
      <c r="C19" s="7"/>
      <c r="D19" s="7" t="s">
        <v>1963</v>
      </c>
      <c r="E19" s="7" t="s">
        <v>1964</v>
      </c>
      <c r="F19" s="7" t="s">
        <v>74</v>
      </c>
    </row>
    <row r="20" spans="1:6" ht="33" x14ac:dyDescent="0.25">
      <c r="A20" s="6" t="s">
        <v>2320</v>
      </c>
      <c r="B20" s="7" t="s">
        <v>2321</v>
      </c>
      <c r="C20" s="7"/>
      <c r="D20" s="7" t="s">
        <v>1645</v>
      </c>
      <c r="E20" s="7" t="s">
        <v>2322</v>
      </c>
      <c r="F20" s="7" t="s">
        <v>74</v>
      </c>
    </row>
    <row r="21" spans="1:6" x14ac:dyDescent="0.25">
      <c r="A21" s="6" t="s">
        <v>119</v>
      </c>
      <c r="B21" s="7" t="s">
        <v>120</v>
      </c>
      <c r="C21" s="7"/>
      <c r="D21" s="7" t="s">
        <v>118</v>
      </c>
      <c r="E21" s="7" t="s">
        <v>116</v>
      </c>
      <c r="F21" s="7" t="s">
        <v>117</v>
      </c>
    </row>
    <row r="22" spans="1:6" ht="33" x14ac:dyDescent="0.25">
      <c r="A22" s="6" t="s">
        <v>1194</v>
      </c>
      <c r="B22" s="7" t="s">
        <v>1195</v>
      </c>
      <c r="C22" s="7"/>
      <c r="D22" s="7" t="s">
        <v>1169</v>
      </c>
      <c r="E22" s="7" t="s">
        <v>1196</v>
      </c>
      <c r="F22" s="7" t="s">
        <v>13</v>
      </c>
    </row>
    <row r="23" spans="1:6" ht="33" x14ac:dyDescent="0.25">
      <c r="A23" s="6" t="s">
        <v>2351</v>
      </c>
      <c r="B23" s="7" t="s">
        <v>2352</v>
      </c>
      <c r="C23" s="7" t="s">
        <v>2353</v>
      </c>
      <c r="D23" s="7" t="s">
        <v>1084</v>
      </c>
      <c r="E23" s="7" t="s">
        <v>2354</v>
      </c>
      <c r="F23" s="7" t="s">
        <v>46</v>
      </c>
    </row>
    <row r="24" spans="1:6" ht="33" x14ac:dyDescent="0.25">
      <c r="A24" s="6" t="s">
        <v>1375</v>
      </c>
      <c r="B24" s="7" t="s">
        <v>1376</v>
      </c>
      <c r="C24" s="7"/>
      <c r="D24" s="7" t="s">
        <v>1377</v>
      </c>
      <c r="E24" s="7" t="s">
        <v>1378</v>
      </c>
      <c r="F24" s="7" t="s">
        <v>13</v>
      </c>
    </row>
    <row r="25" spans="1:6" ht="49.5" x14ac:dyDescent="0.25">
      <c r="A25" s="6" t="s">
        <v>1296</v>
      </c>
      <c r="B25" s="7" t="s">
        <v>1297</v>
      </c>
      <c r="C25" s="7" t="s">
        <v>1298</v>
      </c>
      <c r="D25" s="7" t="s">
        <v>1299</v>
      </c>
      <c r="E25" s="7" t="s">
        <v>1300</v>
      </c>
      <c r="F25" s="7" t="s">
        <v>74</v>
      </c>
    </row>
    <row r="26" spans="1:6" ht="33" x14ac:dyDescent="0.25">
      <c r="A26" s="6" t="s">
        <v>1339</v>
      </c>
      <c r="B26" s="7" t="s">
        <v>1340</v>
      </c>
      <c r="C26" s="7"/>
      <c r="D26" s="7" t="s">
        <v>1341</v>
      </c>
      <c r="E26" s="7" t="s">
        <v>1342</v>
      </c>
      <c r="F26" s="7" t="s">
        <v>13</v>
      </c>
    </row>
    <row r="27" spans="1:6" ht="33" x14ac:dyDescent="0.25">
      <c r="A27" s="6" t="s">
        <v>2085</v>
      </c>
      <c r="B27" s="7" t="s">
        <v>2086</v>
      </c>
      <c r="C27" s="7"/>
      <c r="D27" s="7" t="s">
        <v>2087</v>
      </c>
      <c r="E27" s="7" t="s">
        <v>2088</v>
      </c>
      <c r="F27" s="7" t="s">
        <v>57</v>
      </c>
    </row>
    <row r="28" spans="1:6" ht="33" x14ac:dyDescent="0.25">
      <c r="A28" s="6" t="s">
        <v>19</v>
      </c>
      <c r="B28" s="7" t="s">
        <v>20</v>
      </c>
      <c r="C28" s="7"/>
      <c r="D28" s="7" t="s">
        <v>18</v>
      </c>
      <c r="E28" s="7" t="s">
        <v>17</v>
      </c>
      <c r="F28" s="7" t="s">
        <v>13</v>
      </c>
    </row>
    <row r="29" spans="1:6" ht="33" x14ac:dyDescent="0.25">
      <c r="A29" s="6" t="s">
        <v>1316</v>
      </c>
      <c r="B29" s="7" t="s">
        <v>1317</v>
      </c>
      <c r="C29" s="7"/>
      <c r="D29" s="7" t="s">
        <v>1318</v>
      </c>
      <c r="E29" s="7" t="s">
        <v>1319</v>
      </c>
      <c r="F29" s="7" t="s">
        <v>13</v>
      </c>
    </row>
    <row r="30" spans="1:6" ht="33" x14ac:dyDescent="0.25">
      <c r="A30" s="6" t="s">
        <v>1187</v>
      </c>
      <c r="B30" s="7" t="s">
        <v>1188</v>
      </c>
      <c r="C30" s="7"/>
      <c r="D30" s="7" t="s">
        <v>1189</v>
      </c>
      <c r="E30" s="7" t="s">
        <v>3149</v>
      </c>
      <c r="F30" s="7" t="s">
        <v>13</v>
      </c>
    </row>
    <row r="31" spans="1:6" ht="49.5" x14ac:dyDescent="0.25">
      <c r="A31" s="6" t="s">
        <v>1648</v>
      </c>
      <c r="B31" s="7" t="s">
        <v>1649</v>
      </c>
      <c r="C31" s="7"/>
      <c r="D31" s="7" t="s">
        <v>1650</v>
      </c>
      <c r="E31" s="7" t="s">
        <v>1651</v>
      </c>
      <c r="F31" s="7" t="s">
        <v>74</v>
      </c>
    </row>
    <row r="32" spans="1:6" ht="33" x14ac:dyDescent="0.25">
      <c r="A32" s="6" t="s">
        <v>1331</v>
      </c>
      <c r="B32" s="7" t="s">
        <v>1332</v>
      </c>
      <c r="C32" s="7"/>
      <c r="D32" s="7" t="s">
        <v>1333</v>
      </c>
      <c r="E32" s="7" t="s">
        <v>1334</v>
      </c>
      <c r="F32" s="7" t="s">
        <v>13</v>
      </c>
    </row>
    <row r="33" spans="1:6" ht="33" x14ac:dyDescent="0.25">
      <c r="A33" s="6" t="s">
        <v>1135</v>
      </c>
      <c r="B33" s="7" t="s">
        <v>1136</v>
      </c>
      <c r="C33" s="7"/>
      <c r="D33" s="7" t="s">
        <v>1137</v>
      </c>
      <c r="E33" s="7" t="s">
        <v>1138</v>
      </c>
      <c r="F33" s="7" t="s">
        <v>13</v>
      </c>
    </row>
    <row r="34" spans="1:6" ht="33" x14ac:dyDescent="0.25">
      <c r="A34" s="6" t="s">
        <v>1346</v>
      </c>
      <c r="B34" s="7" t="s">
        <v>1136</v>
      </c>
      <c r="C34" s="7"/>
      <c r="D34" s="7" t="s">
        <v>1347</v>
      </c>
      <c r="E34" s="7" t="s">
        <v>1348</v>
      </c>
      <c r="F34" s="7" t="s">
        <v>13</v>
      </c>
    </row>
    <row r="35" spans="1:6" ht="33" x14ac:dyDescent="0.25">
      <c r="A35" s="6" t="s">
        <v>1090</v>
      </c>
      <c r="B35" s="7" t="s">
        <v>1091</v>
      </c>
      <c r="C35" s="7" t="s">
        <v>1092</v>
      </c>
      <c r="D35" s="7" t="s">
        <v>1093</v>
      </c>
      <c r="E35" s="7" t="s">
        <v>1094</v>
      </c>
      <c r="F35" s="7" t="s">
        <v>13</v>
      </c>
    </row>
    <row r="36" spans="1:6" ht="33" x14ac:dyDescent="0.25">
      <c r="A36" s="6" t="s">
        <v>253</v>
      </c>
      <c r="B36" s="7" t="s">
        <v>252</v>
      </c>
      <c r="C36" s="7"/>
      <c r="D36" s="7" t="s">
        <v>254</v>
      </c>
      <c r="E36" s="7" t="s">
        <v>255</v>
      </c>
      <c r="F36" s="7" t="s">
        <v>195</v>
      </c>
    </row>
    <row r="37" spans="1:6" ht="33" x14ac:dyDescent="0.25">
      <c r="A37" s="6" t="s">
        <v>1266</v>
      </c>
      <c r="B37" s="7" t="s">
        <v>1267</v>
      </c>
      <c r="C37" s="7"/>
      <c r="D37" s="7" t="s">
        <v>1268</v>
      </c>
      <c r="E37" s="7" t="s">
        <v>2600</v>
      </c>
      <c r="F37" s="7" t="s">
        <v>13</v>
      </c>
    </row>
    <row r="38" spans="1:6" ht="33" x14ac:dyDescent="0.25">
      <c r="A38" s="6" t="s">
        <v>257</v>
      </c>
      <c r="B38" s="7" t="s">
        <v>256</v>
      </c>
      <c r="C38" s="7" t="s">
        <v>258</v>
      </c>
      <c r="D38" s="7" t="s">
        <v>259</v>
      </c>
      <c r="E38" s="7" t="s">
        <v>260</v>
      </c>
      <c r="F38" s="7" t="s">
        <v>145</v>
      </c>
    </row>
    <row r="39" spans="1:6" ht="33" x14ac:dyDescent="0.25">
      <c r="A39" s="6" t="s">
        <v>1813</v>
      </c>
      <c r="B39" s="7" t="s">
        <v>1814</v>
      </c>
      <c r="C39" s="7"/>
      <c r="D39" s="7" t="s">
        <v>1815</v>
      </c>
      <c r="E39" s="7" t="s">
        <v>1816</v>
      </c>
      <c r="F39" s="7" t="s">
        <v>74</v>
      </c>
    </row>
    <row r="40" spans="1:6" ht="33" x14ac:dyDescent="0.25">
      <c r="A40" s="6" t="s">
        <v>498</v>
      </c>
      <c r="B40" s="7" t="s">
        <v>497</v>
      </c>
      <c r="C40" s="7"/>
      <c r="D40" s="7" t="s">
        <v>499</v>
      </c>
      <c r="E40" s="7" t="s">
        <v>500</v>
      </c>
      <c r="F40" s="7" t="s">
        <v>57</v>
      </c>
    </row>
    <row r="41" spans="1:6" x14ac:dyDescent="0.25">
      <c r="A41" s="6" t="s">
        <v>609</v>
      </c>
      <c r="B41" s="7" t="s">
        <v>608</v>
      </c>
      <c r="C41" s="7"/>
      <c r="D41" s="7" t="s">
        <v>610</v>
      </c>
      <c r="E41" s="7" t="s">
        <v>611</v>
      </c>
      <c r="F41" s="7" t="s">
        <v>74</v>
      </c>
    </row>
    <row r="42" spans="1:6" ht="33" x14ac:dyDescent="0.25">
      <c r="A42" s="6" t="s">
        <v>613</v>
      </c>
      <c r="B42" s="7" t="s">
        <v>612</v>
      </c>
      <c r="C42" s="7"/>
      <c r="D42" s="7" t="s">
        <v>614</v>
      </c>
      <c r="E42" s="7" t="s">
        <v>615</v>
      </c>
      <c r="F42" s="7" t="s">
        <v>13</v>
      </c>
    </row>
    <row r="43" spans="1:6" ht="33" x14ac:dyDescent="0.25">
      <c r="A43" s="6" t="s">
        <v>1746</v>
      </c>
      <c r="B43" s="7" t="s">
        <v>1747</v>
      </c>
      <c r="C43" s="7"/>
      <c r="D43" s="7" t="s">
        <v>1748</v>
      </c>
      <c r="E43" s="7" t="s">
        <v>1749</v>
      </c>
      <c r="F43" s="7" t="s">
        <v>74</v>
      </c>
    </row>
    <row r="44" spans="1:6" ht="33" x14ac:dyDescent="0.25">
      <c r="A44" s="6" t="s">
        <v>262</v>
      </c>
      <c r="B44" s="7" t="s">
        <v>261</v>
      </c>
      <c r="C44" s="7"/>
      <c r="D44" s="7" t="s">
        <v>263</v>
      </c>
      <c r="E44" s="7" t="s">
        <v>264</v>
      </c>
      <c r="F44" s="7" t="s">
        <v>145</v>
      </c>
    </row>
    <row r="45" spans="1:6" ht="33" x14ac:dyDescent="0.25">
      <c r="A45" s="6" t="s">
        <v>1017</v>
      </c>
      <c r="B45" s="7" t="s">
        <v>1018</v>
      </c>
      <c r="C45" s="7"/>
      <c r="D45" s="7" t="s">
        <v>1019</v>
      </c>
      <c r="E45" s="7" t="s">
        <v>1020</v>
      </c>
      <c r="F45" s="7" t="s">
        <v>13</v>
      </c>
    </row>
    <row r="46" spans="1:6" ht="33" x14ac:dyDescent="0.25">
      <c r="A46" s="6" t="s">
        <v>1401</v>
      </c>
      <c r="B46" s="7" t="s">
        <v>1402</v>
      </c>
      <c r="C46" s="7"/>
      <c r="D46" s="7" t="s">
        <v>1403</v>
      </c>
      <c r="E46" s="7" t="s">
        <v>1404</v>
      </c>
      <c r="F46" s="7" t="s">
        <v>74</v>
      </c>
    </row>
    <row r="47" spans="1:6" ht="49.5" x14ac:dyDescent="0.25">
      <c r="A47" s="6" t="s">
        <v>2251</v>
      </c>
      <c r="B47" s="7" t="s">
        <v>2252</v>
      </c>
      <c r="C47" s="7"/>
      <c r="D47" s="7" t="s">
        <v>2253</v>
      </c>
      <c r="E47" s="7" t="s">
        <v>2254</v>
      </c>
      <c r="F47" s="7" t="s">
        <v>145</v>
      </c>
    </row>
    <row r="48" spans="1:6" ht="33" x14ac:dyDescent="0.25">
      <c r="A48" s="6" t="s">
        <v>617</v>
      </c>
      <c r="B48" s="7" t="s">
        <v>616</v>
      </c>
      <c r="C48" s="7"/>
      <c r="D48" s="7" t="s">
        <v>618</v>
      </c>
      <c r="E48" s="7" t="s">
        <v>619</v>
      </c>
      <c r="F48" s="7" t="s">
        <v>13</v>
      </c>
    </row>
    <row r="49" spans="1:6" ht="49.5" x14ac:dyDescent="0.25">
      <c r="A49" s="6" t="s">
        <v>1343</v>
      </c>
      <c r="B49" s="7" t="s">
        <v>1344</v>
      </c>
      <c r="C49" s="7"/>
      <c r="D49" s="7" t="s">
        <v>1345</v>
      </c>
      <c r="E49" s="7" t="s">
        <v>2601</v>
      </c>
      <c r="F49" s="7" t="s">
        <v>13</v>
      </c>
    </row>
    <row r="50" spans="1:6" ht="33" x14ac:dyDescent="0.25">
      <c r="A50" s="6" t="s">
        <v>621</v>
      </c>
      <c r="B50" s="7" t="s">
        <v>620</v>
      </c>
      <c r="C50" s="7"/>
      <c r="D50" s="7" t="s">
        <v>622</v>
      </c>
      <c r="E50" s="7" t="s">
        <v>623</v>
      </c>
      <c r="F50" s="7" t="s">
        <v>13</v>
      </c>
    </row>
    <row r="51" spans="1:6" ht="33" x14ac:dyDescent="0.25">
      <c r="A51" s="6" t="s">
        <v>1356</v>
      </c>
      <c r="B51" s="7" t="s">
        <v>1357</v>
      </c>
      <c r="C51" s="7"/>
      <c r="D51" s="7" t="s">
        <v>1358</v>
      </c>
      <c r="E51" s="7" t="s">
        <v>1359</v>
      </c>
      <c r="F51" s="7" t="s">
        <v>13</v>
      </c>
    </row>
    <row r="52" spans="1:6" ht="33" x14ac:dyDescent="0.25">
      <c r="A52" s="6" t="s">
        <v>1579</v>
      </c>
      <c r="B52" s="7" t="s">
        <v>1580</v>
      </c>
      <c r="C52" s="7"/>
      <c r="D52" s="7" t="s">
        <v>1581</v>
      </c>
      <c r="E52" s="7" t="s">
        <v>1582</v>
      </c>
      <c r="F52" s="7" t="s">
        <v>74</v>
      </c>
    </row>
    <row r="53" spans="1:6" ht="33" x14ac:dyDescent="0.25">
      <c r="A53" s="6" t="s">
        <v>266</v>
      </c>
      <c r="B53" s="7" t="s">
        <v>265</v>
      </c>
      <c r="C53" s="7"/>
      <c r="D53" s="7" t="s">
        <v>267</v>
      </c>
      <c r="E53" s="7" t="s">
        <v>268</v>
      </c>
      <c r="F53" s="7" t="s">
        <v>74</v>
      </c>
    </row>
    <row r="54" spans="1:6" ht="33" x14ac:dyDescent="0.25">
      <c r="A54" s="6" t="s">
        <v>270</v>
      </c>
      <c r="B54" s="7" t="s">
        <v>269</v>
      </c>
      <c r="C54" s="7" t="s">
        <v>271</v>
      </c>
      <c r="D54" s="7" t="s">
        <v>272</v>
      </c>
      <c r="E54" s="7" t="s">
        <v>273</v>
      </c>
      <c r="F54" s="7" t="s">
        <v>145</v>
      </c>
    </row>
    <row r="55" spans="1:6" ht="33" x14ac:dyDescent="0.25">
      <c r="A55" s="6" t="s">
        <v>1602</v>
      </c>
      <c r="B55" s="7" t="s">
        <v>1603</v>
      </c>
      <c r="C55" s="7"/>
      <c r="D55" s="7" t="s">
        <v>1604</v>
      </c>
      <c r="E55" s="7" t="s">
        <v>1605</v>
      </c>
      <c r="F55" s="7" t="s">
        <v>145</v>
      </c>
    </row>
    <row r="56" spans="1:6" ht="33" x14ac:dyDescent="0.25">
      <c r="A56" s="6" t="s">
        <v>1024</v>
      </c>
      <c r="B56" s="7" t="s">
        <v>1025</v>
      </c>
      <c r="C56" s="7"/>
      <c r="D56" s="7" t="s">
        <v>1026</v>
      </c>
      <c r="E56" s="7" t="s">
        <v>1027</v>
      </c>
      <c r="F56" s="7" t="s">
        <v>13</v>
      </c>
    </row>
    <row r="57" spans="1:6" ht="33" x14ac:dyDescent="0.25">
      <c r="A57" s="6" t="s">
        <v>625</v>
      </c>
      <c r="B57" s="7" t="s">
        <v>624</v>
      </c>
      <c r="C57" s="7"/>
      <c r="D57" s="7" t="s">
        <v>626</v>
      </c>
      <c r="E57" s="7" t="s">
        <v>627</v>
      </c>
      <c r="F57" s="7" t="s">
        <v>13</v>
      </c>
    </row>
    <row r="58" spans="1:6" ht="33" x14ac:dyDescent="0.25">
      <c r="A58" s="6" t="s">
        <v>629</v>
      </c>
      <c r="B58" s="7" t="s">
        <v>628</v>
      </c>
      <c r="C58" s="7"/>
      <c r="D58" s="7" t="s">
        <v>630</v>
      </c>
      <c r="E58" s="7" t="s">
        <v>631</v>
      </c>
      <c r="F58" s="7" t="s">
        <v>632</v>
      </c>
    </row>
    <row r="59" spans="1:6" ht="33" x14ac:dyDescent="0.25">
      <c r="A59" s="6" t="s">
        <v>2326</v>
      </c>
      <c r="B59" s="7" t="s">
        <v>2327</v>
      </c>
      <c r="C59" s="7"/>
      <c r="D59" s="7" t="s">
        <v>2328</v>
      </c>
      <c r="E59" s="7" t="s">
        <v>2329</v>
      </c>
      <c r="F59" s="7" t="s">
        <v>145</v>
      </c>
    </row>
    <row r="60" spans="1:6" ht="33" x14ac:dyDescent="0.25">
      <c r="A60" s="6" t="s">
        <v>634</v>
      </c>
      <c r="B60" s="7" t="s">
        <v>633</v>
      </c>
      <c r="C60" s="7"/>
      <c r="D60" s="7" t="s">
        <v>635</v>
      </c>
      <c r="E60" s="7" t="s">
        <v>636</v>
      </c>
      <c r="F60" s="7" t="s">
        <v>145</v>
      </c>
    </row>
    <row r="61" spans="1:6" ht="33" x14ac:dyDescent="0.25">
      <c r="A61" s="6" t="s">
        <v>1190</v>
      </c>
      <c r="B61" s="7" t="s">
        <v>1191</v>
      </c>
      <c r="C61" s="7"/>
      <c r="D61" s="7" t="s">
        <v>1192</v>
      </c>
      <c r="E61" s="7" t="s">
        <v>1193</v>
      </c>
      <c r="F61" s="7" t="s">
        <v>13</v>
      </c>
    </row>
    <row r="62" spans="1:6" ht="33" x14ac:dyDescent="0.25">
      <c r="A62" s="6" t="s">
        <v>2316</v>
      </c>
      <c r="B62" s="7" t="s">
        <v>2317</v>
      </c>
      <c r="C62" s="7"/>
      <c r="D62" s="7" t="s">
        <v>2318</v>
      </c>
      <c r="E62" s="7" t="s">
        <v>2319</v>
      </c>
      <c r="F62" s="7" t="s">
        <v>57</v>
      </c>
    </row>
    <row r="63" spans="1:6" ht="33" x14ac:dyDescent="0.25">
      <c r="A63" s="6" t="s">
        <v>1833</v>
      </c>
      <c r="B63" s="7" t="s">
        <v>1834</v>
      </c>
      <c r="C63" s="7"/>
      <c r="D63" s="7" t="s">
        <v>1835</v>
      </c>
      <c r="E63" s="7" t="s">
        <v>1836</v>
      </c>
      <c r="F63" s="7" t="s">
        <v>13</v>
      </c>
    </row>
    <row r="64" spans="1:6" ht="33" x14ac:dyDescent="0.25">
      <c r="A64" s="6" t="s">
        <v>1635</v>
      </c>
      <c r="B64" s="7" t="s">
        <v>1636</v>
      </c>
      <c r="C64" s="7" t="s">
        <v>1637</v>
      </c>
      <c r="D64" s="7" t="s">
        <v>1638</v>
      </c>
      <c r="E64" s="7" t="s">
        <v>1639</v>
      </c>
      <c r="F64" s="7" t="s">
        <v>145</v>
      </c>
    </row>
    <row r="65" spans="1:6" ht="33" x14ac:dyDescent="0.25">
      <c r="A65" s="6" t="s">
        <v>1143</v>
      </c>
      <c r="B65" s="7" t="s">
        <v>1144</v>
      </c>
      <c r="C65" s="7" t="s">
        <v>1145</v>
      </c>
      <c r="D65" s="7" t="s">
        <v>1146</v>
      </c>
      <c r="E65" s="7" t="s">
        <v>1147</v>
      </c>
      <c r="F65" s="7" t="s">
        <v>13</v>
      </c>
    </row>
    <row r="66" spans="1:6" ht="33" x14ac:dyDescent="0.25">
      <c r="A66" s="6" t="s">
        <v>2312</v>
      </c>
      <c r="B66" s="7" t="s">
        <v>2313</v>
      </c>
      <c r="C66" s="7" t="s">
        <v>1871</v>
      </c>
      <c r="D66" s="7" t="s">
        <v>2314</v>
      </c>
      <c r="E66" s="7" t="s">
        <v>2315</v>
      </c>
      <c r="F66" s="7" t="s">
        <v>57</v>
      </c>
    </row>
    <row r="67" spans="1:6" ht="49.5" x14ac:dyDescent="0.25">
      <c r="A67" s="8" t="s">
        <v>2553</v>
      </c>
      <c r="B67" s="9" t="s">
        <v>2554</v>
      </c>
      <c r="C67" s="9"/>
      <c r="D67" s="9" t="s">
        <v>2555</v>
      </c>
      <c r="E67" s="9" t="s">
        <v>2556</v>
      </c>
      <c r="F67" s="9" t="s">
        <v>13</v>
      </c>
    </row>
    <row r="68" spans="1:6" ht="33" x14ac:dyDescent="0.25">
      <c r="A68" s="6" t="s">
        <v>1793</v>
      </c>
      <c r="B68" s="7" t="s">
        <v>1794</v>
      </c>
      <c r="C68" s="7" t="s">
        <v>1059</v>
      </c>
      <c r="D68" s="7" t="s">
        <v>1795</v>
      </c>
      <c r="E68" s="7" t="s">
        <v>1796</v>
      </c>
      <c r="F68" s="7" t="s">
        <v>46</v>
      </c>
    </row>
    <row r="69" spans="1:6" ht="33" x14ac:dyDescent="0.25">
      <c r="A69" s="6" t="s">
        <v>1383</v>
      </c>
      <c r="B69" s="7" t="s">
        <v>1384</v>
      </c>
      <c r="C69" s="7"/>
      <c r="D69" s="7" t="s">
        <v>1385</v>
      </c>
      <c r="E69" s="7" t="s">
        <v>1386</v>
      </c>
      <c r="F69" s="7" t="s">
        <v>13</v>
      </c>
    </row>
    <row r="70" spans="1:6" ht="33" x14ac:dyDescent="0.25">
      <c r="A70" s="6" t="s">
        <v>1413</v>
      </c>
      <c r="B70" s="7" t="s">
        <v>1414</v>
      </c>
      <c r="C70" s="7"/>
      <c r="D70" s="7" t="s">
        <v>1415</v>
      </c>
      <c r="E70" s="7" t="s">
        <v>1416</v>
      </c>
      <c r="F70" s="7" t="s">
        <v>13</v>
      </c>
    </row>
    <row r="71" spans="1:6" ht="33" x14ac:dyDescent="0.25">
      <c r="A71" s="6" t="s">
        <v>1171</v>
      </c>
      <c r="B71" s="7" t="s">
        <v>1172</v>
      </c>
      <c r="C71" s="7"/>
      <c r="D71" s="7" t="s">
        <v>1173</v>
      </c>
      <c r="E71" s="7" t="s">
        <v>1174</v>
      </c>
      <c r="F71" s="7" t="s">
        <v>13</v>
      </c>
    </row>
    <row r="72" spans="1:6" ht="33" x14ac:dyDescent="0.25">
      <c r="A72" s="6" t="s">
        <v>1073</v>
      </c>
      <c r="B72" s="7" t="s">
        <v>1074</v>
      </c>
      <c r="C72" s="7" t="s">
        <v>1075</v>
      </c>
      <c r="D72" s="7" t="s">
        <v>1076</v>
      </c>
      <c r="E72" s="7" t="s">
        <v>1077</v>
      </c>
      <c r="F72" s="7" t="s">
        <v>13</v>
      </c>
    </row>
    <row r="73" spans="1:6" ht="33" x14ac:dyDescent="0.25">
      <c r="A73" s="6" t="s">
        <v>1885</v>
      </c>
      <c r="B73" s="7" t="s">
        <v>1886</v>
      </c>
      <c r="C73" s="7" t="s">
        <v>1109</v>
      </c>
      <c r="D73" s="7" t="s">
        <v>1802</v>
      </c>
      <c r="E73" s="7" t="s">
        <v>1887</v>
      </c>
      <c r="F73" s="7" t="s">
        <v>145</v>
      </c>
    </row>
    <row r="74" spans="1:6" ht="33" x14ac:dyDescent="0.25">
      <c r="A74" s="6" t="s">
        <v>2099</v>
      </c>
      <c r="B74" s="7" t="s">
        <v>2100</v>
      </c>
      <c r="C74" s="7"/>
      <c r="D74" s="7" t="s">
        <v>2101</v>
      </c>
      <c r="E74" s="7" t="s">
        <v>2102</v>
      </c>
      <c r="F74" s="7" t="s">
        <v>145</v>
      </c>
    </row>
    <row r="75" spans="1:6" ht="49.5" x14ac:dyDescent="0.25">
      <c r="A75" s="6" t="s">
        <v>1236</v>
      </c>
      <c r="B75" s="7" t="s">
        <v>1237</v>
      </c>
      <c r="C75" s="7"/>
      <c r="D75" s="7" t="s">
        <v>1238</v>
      </c>
      <c r="E75" s="7" t="s">
        <v>1239</v>
      </c>
      <c r="F75" s="7" t="s">
        <v>13</v>
      </c>
    </row>
    <row r="76" spans="1:6" ht="33" x14ac:dyDescent="0.25">
      <c r="A76" s="6" t="s">
        <v>1721</v>
      </c>
      <c r="B76" s="7" t="s">
        <v>1722</v>
      </c>
      <c r="C76" s="7" t="s">
        <v>1723</v>
      </c>
      <c r="D76" s="7" t="s">
        <v>1724</v>
      </c>
      <c r="E76" s="7" t="s">
        <v>1725</v>
      </c>
      <c r="F76" s="7" t="s">
        <v>74</v>
      </c>
    </row>
    <row r="77" spans="1:6" ht="33" x14ac:dyDescent="0.25">
      <c r="A77" s="6" t="s">
        <v>638</v>
      </c>
      <c r="B77" s="7" t="s">
        <v>637</v>
      </c>
      <c r="C77" s="7"/>
      <c r="D77" s="7" t="s">
        <v>639</v>
      </c>
      <c r="E77" s="7" t="s">
        <v>640</v>
      </c>
      <c r="F77" s="7" t="s">
        <v>632</v>
      </c>
    </row>
    <row r="78" spans="1:6" ht="33" x14ac:dyDescent="0.25">
      <c r="A78" s="6" t="s">
        <v>642</v>
      </c>
      <c r="B78" s="7" t="s">
        <v>641</v>
      </c>
      <c r="C78" s="7"/>
      <c r="D78" s="7" t="s">
        <v>643</v>
      </c>
      <c r="E78" s="7" t="s">
        <v>644</v>
      </c>
      <c r="F78" s="7" t="s">
        <v>13</v>
      </c>
    </row>
    <row r="79" spans="1:6" ht="33" x14ac:dyDescent="0.25">
      <c r="A79" s="6" t="s">
        <v>646</v>
      </c>
      <c r="B79" s="7" t="s">
        <v>645</v>
      </c>
      <c r="C79" s="7"/>
      <c r="D79" s="7" t="s">
        <v>647</v>
      </c>
      <c r="E79" s="7" t="s">
        <v>648</v>
      </c>
      <c r="F79" s="7" t="s">
        <v>13</v>
      </c>
    </row>
    <row r="80" spans="1:6" ht="33" x14ac:dyDescent="0.25">
      <c r="A80" s="6" t="s">
        <v>650</v>
      </c>
      <c r="B80" s="7" t="s">
        <v>649</v>
      </c>
      <c r="C80" s="7" t="s">
        <v>651</v>
      </c>
      <c r="D80" s="7" t="s">
        <v>652</v>
      </c>
      <c r="E80" s="7" t="s">
        <v>653</v>
      </c>
      <c r="F80" s="7" t="s">
        <v>26</v>
      </c>
    </row>
    <row r="81" spans="1:6" ht="33" x14ac:dyDescent="0.25">
      <c r="A81" s="6" t="s">
        <v>2564</v>
      </c>
      <c r="B81" s="7" t="s">
        <v>2565</v>
      </c>
      <c r="C81" s="7"/>
      <c r="D81" s="7" t="s">
        <v>2566</v>
      </c>
      <c r="E81" s="7" t="s">
        <v>2567</v>
      </c>
      <c r="F81" s="7" t="s">
        <v>632</v>
      </c>
    </row>
    <row r="82" spans="1:6" ht="33" x14ac:dyDescent="0.25">
      <c r="A82" s="6" t="s">
        <v>655</v>
      </c>
      <c r="B82" s="7" t="s">
        <v>654</v>
      </c>
      <c r="C82" s="7"/>
      <c r="D82" s="7" t="s">
        <v>656</v>
      </c>
      <c r="E82" s="7" t="s">
        <v>657</v>
      </c>
      <c r="F82" s="7" t="s">
        <v>13</v>
      </c>
    </row>
    <row r="83" spans="1:6" ht="49.5" x14ac:dyDescent="0.25">
      <c r="A83" s="6" t="s">
        <v>1349</v>
      </c>
      <c r="B83" s="7" t="s">
        <v>1350</v>
      </c>
      <c r="C83" s="7"/>
      <c r="D83" s="7" t="s">
        <v>1351</v>
      </c>
      <c r="E83" s="7" t="s">
        <v>1352</v>
      </c>
      <c r="F83" s="7" t="s">
        <v>13</v>
      </c>
    </row>
    <row r="84" spans="1:6" ht="33" x14ac:dyDescent="0.25">
      <c r="A84" s="6" t="s">
        <v>659</v>
      </c>
      <c r="B84" s="7" t="s">
        <v>658</v>
      </c>
      <c r="C84" s="7"/>
      <c r="D84" s="7" t="s">
        <v>660</v>
      </c>
      <c r="E84" s="7" t="s">
        <v>661</v>
      </c>
      <c r="F84" s="7" t="s">
        <v>13</v>
      </c>
    </row>
    <row r="85" spans="1:6" ht="33" x14ac:dyDescent="0.25">
      <c r="A85" s="6" t="s">
        <v>1560</v>
      </c>
      <c r="B85" s="7" t="s">
        <v>1561</v>
      </c>
      <c r="C85" s="7"/>
      <c r="D85" s="7" t="s">
        <v>1562</v>
      </c>
      <c r="E85" s="7" t="s">
        <v>1563</v>
      </c>
      <c r="F85" s="7" t="s">
        <v>145</v>
      </c>
    </row>
    <row r="86" spans="1:6" ht="33" x14ac:dyDescent="0.25">
      <c r="A86" s="6" t="s">
        <v>663</v>
      </c>
      <c r="B86" s="7" t="s">
        <v>662</v>
      </c>
      <c r="C86" s="7"/>
      <c r="D86" s="7" t="s">
        <v>664</v>
      </c>
      <c r="E86" s="7" t="s">
        <v>665</v>
      </c>
      <c r="F86" s="7" t="s">
        <v>13</v>
      </c>
    </row>
    <row r="87" spans="1:6" ht="66" x14ac:dyDescent="0.25">
      <c r="A87" s="6" t="s">
        <v>1312</v>
      </c>
      <c r="B87" s="7" t="s">
        <v>1313</v>
      </c>
      <c r="C87" s="7"/>
      <c r="D87" s="7" t="s">
        <v>1314</v>
      </c>
      <c r="E87" s="7" t="s">
        <v>1315</v>
      </c>
      <c r="F87" s="7" t="s">
        <v>13</v>
      </c>
    </row>
    <row r="88" spans="1:6" ht="33" x14ac:dyDescent="0.25">
      <c r="A88" s="6" t="s">
        <v>1936</v>
      </c>
      <c r="B88" s="7" t="s">
        <v>1937</v>
      </c>
      <c r="C88" s="7"/>
      <c r="D88" s="7" t="s">
        <v>1573</v>
      </c>
      <c r="E88" s="7" t="s">
        <v>1938</v>
      </c>
      <c r="F88" s="7" t="s">
        <v>145</v>
      </c>
    </row>
    <row r="89" spans="1:6" ht="33" x14ac:dyDescent="0.25">
      <c r="A89" s="6" t="s">
        <v>1765</v>
      </c>
      <c r="B89" s="7" t="s">
        <v>1766</v>
      </c>
      <c r="C89" s="7" t="s">
        <v>1059</v>
      </c>
      <c r="D89" s="7" t="s">
        <v>1767</v>
      </c>
      <c r="E89" s="7" t="s">
        <v>1768</v>
      </c>
      <c r="F89" s="7" t="s">
        <v>74</v>
      </c>
    </row>
    <row r="90" spans="1:6" ht="33" x14ac:dyDescent="0.25">
      <c r="A90" s="6" t="s">
        <v>1778</v>
      </c>
      <c r="B90" s="7" t="s">
        <v>1779</v>
      </c>
      <c r="C90" s="7" t="s">
        <v>1629</v>
      </c>
      <c r="D90" s="7" t="s">
        <v>1780</v>
      </c>
      <c r="E90" s="7" t="s">
        <v>1781</v>
      </c>
      <c r="F90" s="7" t="s">
        <v>145</v>
      </c>
    </row>
    <row r="91" spans="1:6" ht="33" x14ac:dyDescent="0.25">
      <c r="A91" s="6" t="s">
        <v>1417</v>
      </c>
      <c r="B91" s="7" t="s">
        <v>1418</v>
      </c>
      <c r="C91" s="7"/>
      <c r="D91" s="7" t="s">
        <v>1419</v>
      </c>
      <c r="E91" s="7" t="s">
        <v>1420</v>
      </c>
      <c r="F91" s="7" t="s">
        <v>74</v>
      </c>
    </row>
    <row r="92" spans="1:6" ht="33" x14ac:dyDescent="0.25">
      <c r="A92" s="6" t="s">
        <v>2107</v>
      </c>
      <c r="B92" s="7" t="s">
        <v>2108</v>
      </c>
      <c r="C92" s="7"/>
      <c r="D92" s="7" t="s">
        <v>2109</v>
      </c>
      <c r="E92" s="7" t="s">
        <v>2110</v>
      </c>
      <c r="F92" s="7" t="s">
        <v>2111</v>
      </c>
    </row>
    <row r="93" spans="1:6" ht="43.5" customHeight="1" x14ac:dyDescent="0.25">
      <c r="A93" s="6" t="s">
        <v>275</v>
      </c>
      <c r="B93" s="7" t="s">
        <v>274</v>
      </c>
      <c r="C93" s="7"/>
      <c r="D93" s="7" t="s">
        <v>276</v>
      </c>
      <c r="E93" s="7" t="s">
        <v>277</v>
      </c>
      <c r="F93" s="7" t="s">
        <v>145</v>
      </c>
    </row>
    <row r="94" spans="1:6" ht="45" customHeight="1" x14ac:dyDescent="0.25">
      <c r="A94" s="6" t="s">
        <v>279</v>
      </c>
      <c r="B94" s="7" t="s">
        <v>278</v>
      </c>
      <c r="C94" s="7"/>
      <c r="D94" s="7" t="s">
        <v>280</v>
      </c>
      <c r="E94" s="7" t="s">
        <v>281</v>
      </c>
      <c r="F94" s="7" t="s">
        <v>145</v>
      </c>
    </row>
    <row r="95" spans="1:6" ht="33" x14ac:dyDescent="0.25">
      <c r="A95" s="6" t="s">
        <v>1924</v>
      </c>
      <c r="B95" s="7" t="s">
        <v>1925</v>
      </c>
      <c r="C95" s="7"/>
      <c r="D95" s="7" t="s">
        <v>1926</v>
      </c>
      <c r="E95" s="7" t="s">
        <v>1927</v>
      </c>
      <c r="F95" s="7" t="s">
        <v>1928</v>
      </c>
    </row>
    <row r="96" spans="1:6" ht="33" x14ac:dyDescent="0.25">
      <c r="A96" s="6" t="s">
        <v>959</v>
      </c>
      <c r="B96" s="7" t="s">
        <v>960</v>
      </c>
      <c r="C96" s="7"/>
      <c r="D96" s="7" t="s">
        <v>961</v>
      </c>
      <c r="E96" s="7" t="s">
        <v>962</v>
      </c>
      <c r="F96" s="7" t="s">
        <v>13</v>
      </c>
    </row>
    <row r="97" spans="1:6" ht="49.5" x14ac:dyDescent="0.25">
      <c r="A97" s="6" t="s">
        <v>197</v>
      </c>
      <c r="B97" s="7" t="s">
        <v>198</v>
      </c>
      <c r="C97" s="7"/>
      <c r="D97" s="7" t="s">
        <v>196</v>
      </c>
      <c r="E97" s="7" t="s">
        <v>194</v>
      </c>
      <c r="F97" s="7" t="s">
        <v>195</v>
      </c>
    </row>
    <row r="98" spans="1:6" ht="33" x14ac:dyDescent="0.25">
      <c r="A98" s="6" t="s">
        <v>1250</v>
      </c>
      <c r="B98" s="7" t="s">
        <v>1251</v>
      </c>
      <c r="C98" s="7"/>
      <c r="D98" s="7" t="s">
        <v>1252</v>
      </c>
      <c r="E98" s="7" t="s">
        <v>1253</v>
      </c>
      <c r="F98" s="7" t="s">
        <v>13</v>
      </c>
    </row>
    <row r="99" spans="1:6" ht="33" x14ac:dyDescent="0.25">
      <c r="A99" s="6" t="s">
        <v>502</v>
      </c>
      <c r="B99" s="7" t="s">
        <v>501</v>
      </c>
      <c r="C99" s="7"/>
      <c r="D99" s="7" t="s">
        <v>503</v>
      </c>
      <c r="E99" s="7" t="s">
        <v>504</v>
      </c>
      <c r="F99" s="7" t="s">
        <v>74</v>
      </c>
    </row>
    <row r="100" spans="1:6" ht="49.5" x14ac:dyDescent="0.25">
      <c r="A100" s="6" t="s">
        <v>506</v>
      </c>
      <c r="B100" s="7" t="s">
        <v>505</v>
      </c>
      <c r="C100" s="7"/>
      <c r="D100" s="7" t="s">
        <v>507</v>
      </c>
      <c r="E100" s="7" t="s">
        <v>508</v>
      </c>
      <c r="F100" s="7" t="s">
        <v>509</v>
      </c>
    </row>
    <row r="101" spans="1:6" ht="33" x14ac:dyDescent="0.25">
      <c r="A101" s="6" t="s">
        <v>1627</v>
      </c>
      <c r="B101" s="7" t="s">
        <v>1628</v>
      </c>
      <c r="C101" s="7" t="s">
        <v>1629</v>
      </c>
      <c r="D101" s="7" t="s">
        <v>1630</v>
      </c>
      <c r="E101" s="7" t="s">
        <v>1631</v>
      </c>
      <c r="F101" s="7" t="s">
        <v>145</v>
      </c>
    </row>
    <row r="102" spans="1:6" ht="33" x14ac:dyDescent="0.25">
      <c r="A102" s="6" t="s">
        <v>1139</v>
      </c>
      <c r="B102" s="7" t="s">
        <v>1140</v>
      </c>
      <c r="C102" s="7"/>
      <c r="D102" s="7" t="s">
        <v>1141</v>
      </c>
      <c r="E102" s="7" t="s">
        <v>1142</v>
      </c>
      <c r="F102" s="7" t="s">
        <v>13</v>
      </c>
    </row>
    <row r="103" spans="1:6" ht="49.5" x14ac:dyDescent="0.25">
      <c r="A103" s="6" t="s">
        <v>667</v>
      </c>
      <c r="B103" s="7" t="s">
        <v>666</v>
      </c>
      <c r="C103" s="7"/>
      <c r="D103" s="7" t="s">
        <v>668</v>
      </c>
      <c r="E103" s="7" t="s">
        <v>669</v>
      </c>
      <c r="F103" s="7" t="s">
        <v>26</v>
      </c>
    </row>
    <row r="104" spans="1:6" ht="33" x14ac:dyDescent="0.25">
      <c r="A104" s="6" t="s">
        <v>1564</v>
      </c>
      <c r="B104" s="7" t="s">
        <v>1565</v>
      </c>
      <c r="C104" s="7"/>
      <c r="D104" s="7" t="s">
        <v>1566</v>
      </c>
      <c r="E104" s="7" t="s">
        <v>1567</v>
      </c>
      <c r="F104" s="7" t="s">
        <v>145</v>
      </c>
    </row>
    <row r="105" spans="1:6" ht="49.5" x14ac:dyDescent="0.25">
      <c r="A105" s="6" t="s">
        <v>671</v>
      </c>
      <c r="B105" s="7" t="s">
        <v>670</v>
      </c>
      <c r="C105" s="7"/>
      <c r="D105" s="7" t="s">
        <v>672</v>
      </c>
      <c r="E105" s="7" t="s">
        <v>673</v>
      </c>
      <c r="F105" s="7" t="s">
        <v>13</v>
      </c>
    </row>
    <row r="106" spans="1:6" ht="33" x14ac:dyDescent="0.25">
      <c r="A106" s="6" t="s">
        <v>1858</v>
      </c>
      <c r="B106" s="7" t="s">
        <v>1859</v>
      </c>
      <c r="C106" s="7" t="s">
        <v>1109</v>
      </c>
      <c r="D106" s="7" t="s">
        <v>1860</v>
      </c>
      <c r="E106" s="7" t="s">
        <v>1861</v>
      </c>
      <c r="F106" s="7" t="s">
        <v>145</v>
      </c>
    </row>
    <row r="107" spans="1:6" ht="33" x14ac:dyDescent="0.25">
      <c r="A107" s="6" t="s">
        <v>675</v>
      </c>
      <c r="B107" s="7" t="s">
        <v>674</v>
      </c>
      <c r="C107" s="7" t="s">
        <v>676</v>
      </c>
      <c r="D107" s="7" t="s">
        <v>677</v>
      </c>
      <c r="E107" s="7" t="s">
        <v>678</v>
      </c>
      <c r="F107" s="7" t="s">
        <v>679</v>
      </c>
    </row>
    <row r="108" spans="1:6" ht="33" x14ac:dyDescent="0.25">
      <c r="A108" s="6" t="s">
        <v>511</v>
      </c>
      <c r="B108" s="7" t="s">
        <v>510</v>
      </c>
      <c r="C108" s="7" t="s">
        <v>512</v>
      </c>
      <c r="D108" s="7" t="s">
        <v>513</v>
      </c>
      <c r="E108" s="7" t="s">
        <v>514</v>
      </c>
      <c r="F108" s="7" t="s">
        <v>57</v>
      </c>
    </row>
    <row r="109" spans="1:6" ht="33" x14ac:dyDescent="0.25">
      <c r="A109" s="6" t="s">
        <v>2009</v>
      </c>
      <c r="B109" s="7" t="s">
        <v>2010</v>
      </c>
      <c r="C109" s="7"/>
      <c r="D109" s="7" t="s">
        <v>2011</v>
      </c>
      <c r="E109" s="7" t="s">
        <v>2012</v>
      </c>
      <c r="F109" s="7" t="s">
        <v>57</v>
      </c>
    </row>
    <row r="110" spans="1:6" ht="33" x14ac:dyDescent="0.25">
      <c r="A110" s="6" t="s">
        <v>2097</v>
      </c>
      <c r="B110" s="7" t="s">
        <v>2010</v>
      </c>
      <c r="C110" s="7" t="s">
        <v>1041</v>
      </c>
      <c r="D110" s="7" t="s">
        <v>1084</v>
      </c>
      <c r="E110" s="7" t="s">
        <v>2098</v>
      </c>
      <c r="F110" s="7" t="s">
        <v>57</v>
      </c>
    </row>
    <row r="111" spans="1:6" ht="33" x14ac:dyDescent="0.25">
      <c r="A111" s="6" t="s">
        <v>681</v>
      </c>
      <c r="B111" s="7" t="s">
        <v>680</v>
      </c>
      <c r="C111" s="7"/>
      <c r="D111" s="7" t="s">
        <v>682</v>
      </c>
      <c r="E111" s="7" t="s">
        <v>683</v>
      </c>
      <c r="F111" s="7" t="s">
        <v>13</v>
      </c>
    </row>
    <row r="112" spans="1:6" ht="33" x14ac:dyDescent="0.25">
      <c r="A112" s="6" t="s">
        <v>1216</v>
      </c>
      <c r="B112" s="7" t="s">
        <v>1217</v>
      </c>
      <c r="C112" s="7"/>
      <c r="D112" s="7" t="s">
        <v>1218</v>
      </c>
      <c r="E112" s="7" t="s">
        <v>1219</v>
      </c>
      <c r="F112" s="7" t="s">
        <v>13</v>
      </c>
    </row>
    <row r="113" spans="1:6" ht="33" x14ac:dyDescent="0.25">
      <c r="A113" s="6" t="s">
        <v>1216</v>
      </c>
      <c r="B113" s="7" t="s">
        <v>1217</v>
      </c>
      <c r="C113" s="7"/>
      <c r="D113" s="7" t="s">
        <v>1218</v>
      </c>
      <c r="E113" s="7" t="s">
        <v>1220</v>
      </c>
      <c r="F113" s="7" t="s">
        <v>13</v>
      </c>
    </row>
    <row r="114" spans="1:6" ht="33" x14ac:dyDescent="0.25">
      <c r="A114" s="6" t="s">
        <v>1107</v>
      </c>
      <c r="B114" s="7" t="s">
        <v>1108</v>
      </c>
      <c r="C114" s="7" t="s">
        <v>1109</v>
      </c>
      <c r="D114" s="7" t="s">
        <v>1110</v>
      </c>
      <c r="E114" s="7" t="s">
        <v>1111</v>
      </c>
      <c r="F114" s="7" t="s">
        <v>1112</v>
      </c>
    </row>
    <row r="115" spans="1:6" ht="49.5" x14ac:dyDescent="0.25">
      <c r="A115" s="6" t="s">
        <v>283</v>
      </c>
      <c r="B115" s="7" t="s">
        <v>282</v>
      </c>
      <c r="C115" s="7"/>
      <c r="D115" s="7" t="s">
        <v>284</v>
      </c>
      <c r="E115" s="7" t="s">
        <v>285</v>
      </c>
      <c r="F115" s="7" t="s">
        <v>13</v>
      </c>
    </row>
    <row r="116" spans="1:6" ht="33" x14ac:dyDescent="0.25">
      <c r="A116" s="6" t="s">
        <v>516</v>
      </c>
      <c r="B116" s="7" t="s">
        <v>515</v>
      </c>
      <c r="C116" s="7"/>
      <c r="D116" s="7" t="s">
        <v>517</v>
      </c>
      <c r="E116" s="7" t="s">
        <v>518</v>
      </c>
      <c r="F116" s="7" t="s">
        <v>57</v>
      </c>
    </row>
    <row r="117" spans="1:6" ht="33" x14ac:dyDescent="0.25">
      <c r="A117" s="6" t="s">
        <v>2147</v>
      </c>
      <c r="B117" s="7" t="s">
        <v>2148</v>
      </c>
      <c r="C117" s="7" t="s">
        <v>2149</v>
      </c>
      <c r="D117" s="7" t="s">
        <v>2150</v>
      </c>
      <c r="E117" s="7" t="s">
        <v>2151</v>
      </c>
      <c r="F117" s="7" t="s">
        <v>57</v>
      </c>
    </row>
    <row r="118" spans="1:6" ht="33" x14ac:dyDescent="0.25">
      <c r="A118" s="6" t="s">
        <v>2152</v>
      </c>
      <c r="B118" s="7" t="s">
        <v>2148</v>
      </c>
      <c r="C118" s="7" t="s">
        <v>2153</v>
      </c>
      <c r="D118" s="7" t="s">
        <v>2154</v>
      </c>
      <c r="E118" s="7" t="s">
        <v>2155</v>
      </c>
      <c r="F118" s="7" t="s">
        <v>57</v>
      </c>
    </row>
    <row r="119" spans="1:6" ht="33" x14ac:dyDescent="0.25">
      <c r="A119" s="6" t="s">
        <v>1039</v>
      </c>
      <c r="B119" s="7" t="s">
        <v>1040</v>
      </c>
      <c r="C119" s="7" t="s">
        <v>1041</v>
      </c>
      <c r="D119" s="7" t="s">
        <v>1042</v>
      </c>
      <c r="E119" s="7" t="s">
        <v>1043</v>
      </c>
      <c r="F119" s="7" t="s">
        <v>1044</v>
      </c>
    </row>
    <row r="120" spans="1:6" ht="33" x14ac:dyDescent="0.25">
      <c r="A120" s="6" t="s">
        <v>287</v>
      </c>
      <c r="B120" s="7" t="s">
        <v>286</v>
      </c>
      <c r="C120" s="7"/>
      <c r="D120" s="7" t="s">
        <v>288</v>
      </c>
      <c r="E120" s="7" t="s">
        <v>289</v>
      </c>
      <c r="F120" s="7" t="s">
        <v>13</v>
      </c>
    </row>
    <row r="121" spans="1:6" ht="49.5" x14ac:dyDescent="0.25">
      <c r="A121" s="6" t="s">
        <v>1204</v>
      </c>
      <c r="B121" s="7" t="s">
        <v>1205</v>
      </c>
      <c r="C121" s="7"/>
      <c r="D121" s="7" t="s">
        <v>1206</v>
      </c>
      <c r="E121" s="7" t="s">
        <v>1207</v>
      </c>
      <c r="F121" s="7" t="s">
        <v>13</v>
      </c>
    </row>
    <row r="122" spans="1:6" ht="33" x14ac:dyDescent="0.25">
      <c r="A122" s="6" t="s">
        <v>1587</v>
      </c>
      <c r="B122" s="7" t="s">
        <v>1588</v>
      </c>
      <c r="C122" s="7" t="s">
        <v>1041</v>
      </c>
      <c r="D122" s="7" t="s">
        <v>1287</v>
      </c>
      <c r="E122" s="7" t="s">
        <v>1589</v>
      </c>
      <c r="F122" s="7" t="s">
        <v>74</v>
      </c>
    </row>
    <row r="123" spans="1:6" ht="33" x14ac:dyDescent="0.25">
      <c r="A123" s="6" t="s">
        <v>211</v>
      </c>
      <c r="B123" s="7" t="s">
        <v>212</v>
      </c>
      <c r="C123" s="7"/>
      <c r="D123" s="7" t="s">
        <v>210</v>
      </c>
      <c r="E123" s="7" t="s">
        <v>209</v>
      </c>
      <c r="F123" s="7" t="s">
        <v>145</v>
      </c>
    </row>
    <row r="124" spans="1:6" ht="33" x14ac:dyDescent="0.25">
      <c r="A124" s="6" t="s">
        <v>1869</v>
      </c>
      <c r="B124" s="7" t="s">
        <v>1870</v>
      </c>
      <c r="C124" s="7" t="s">
        <v>1871</v>
      </c>
      <c r="D124" s="7" t="s">
        <v>1791</v>
      </c>
      <c r="E124" s="7" t="s">
        <v>1872</v>
      </c>
      <c r="F124" s="7" t="s">
        <v>46</v>
      </c>
    </row>
    <row r="125" spans="1:6" ht="49.5" x14ac:dyDescent="0.25">
      <c r="A125" s="6" t="s">
        <v>1575</v>
      </c>
      <c r="B125" s="7" t="s">
        <v>1576</v>
      </c>
      <c r="C125" s="7"/>
      <c r="D125" s="7" t="s">
        <v>1577</v>
      </c>
      <c r="E125" s="7" t="s">
        <v>1578</v>
      </c>
      <c r="F125" s="7" t="s">
        <v>145</v>
      </c>
    </row>
    <row r="126" spans="1:6" ht="33" x14ac:dyDescent="0.25">
      <c r="A126" s="6" t="s">
        <v>1830</v>
      </c>
      <c r="B126" s="7" t="s">
        <v>1831</v>
      </c>
      <c r="C126" s="7"/>
      <c r="D126" s="7" t="s">
        <v>1050</v>
      </c>
      <c r="E126" s="7" t="s">
        <v>1832</v>
      </c>
      <c r="F126" s="7" t="s">
        <v>145</v>
      </c>
    </row>
    <row r="127" spans="1:6" ht="33" x14ac:dyDescent="0.25">
      <c r="A127" s="6" t="s">
        <v>1086</v>
      </c>
      <c r="B127" s="7" t="s">
        <v>1087</v>
      </c>
      <c r="C127" s="7"/>
      <c r="D127" s="7" t="s">
        <v>1088</v>
      </c>
      <c r="E127" s="7" t="s">
        <v>1089</v>
      </c>
      <c r="F127" s="7" t="s">
        <v>13</v>
      </c>
    </row>
    <row r="128" spans="1:6" ht="33" x14ac:dyDescent="0.25">
      <c r="A128" s="6" t="s">
        <v>689</v>
      </c>
      <c r="B128" s="7" t="s">
        <v>688</v>
      </c>
      <c r="C128" s="7"/>
      <c r="D128" s="7" t="s">
        <v>690</v>
      </c>
      <c r="E128" s="7" t="s">
        <v>691</v>
      </c>
      <c r="F128" s="7" t="s">
        <v>26</v>
      </c>
    </row>
    <row r="129" spans="1:6" ht="33" x14ac:dyDescent="0.25">
      <c r="A129" s="6" t="s">
        <v>1095</v>
      </c>
      <c r="B129" s="7" t="s">
        <v>1096</v>
      </c>
      <c r="C129" s="7"/>
      <c r="D129" s="7" t="s">
        <v>1097</v>
      </c>
      <c r="E129" s="7" t="s">
        <v>1098</v>
      </c>
      <c r="F129" s="7" t="s">
        <v>13</v>
      </c>
    </row>
    <row r="130" spans="1:6" ht="33" x14ac:dyDescent="0.25">
      <c r="A130" s="6" t="s">
        <v>2261</v>
      </c>
      <c r="B130" s="7" t="s">
        <v>2262</v>
      </c>
      <c r="C130" s="7" t="s">
        <v>2263</v>
      </c>
      <c r="D130" s="7" t="s">
        <v>1638</v>
      </c>
      <c r="E130" s="7" t="s">
        <v>2264</v>
      </c>
      <c r="F130" s="7" t="s">
        <v>145</v>
      </c>
    </row>
    <row r="131" spans="1:6" ht="33" x14ac:dyDescent="0.25">
      <c r="A131" s="6" t="s">
        <v>520</v>
      </c>
      <c r="B131" s="7" t="s">
        <v>519</v>
      </c>
      <c r="C131" s="7"/>
      <c r="D131" s="7" t="s">
        <v>521</v>
      </c>
      <c r="E131" s="7" t="s">
        <v>522</v>
      </c>
      <c r="F131" s="7" t="s">
        <v>13</v>
      </c>
    </row>
    <row r="132" spans="1:6" ht="33" x14ac:dyDescent="0.25">
      <c r="A132" s="6" t="s">
        <v>10</v>
      </c>
      <c r="B132" s="7" t="s">
        <v>11</v>
      </c>
      <c r="C132" s="7" t="s">
        <v>8</v>
      </c>
      <c r="D132" s="7" t="s">
        <v>9</v>
      </c>
      <c r="E132" s="7" t="s">
        <v>6</v>
      </c>
      <c r="F132" s="7" t="s">
        <v>7</v>
      </c>
    </row>
    <row r="133" spans="1:6" ht="33" x14ac:dyDescent="0.25">
      <c r="A133" s="6" t="s">
        <v>204</v>
      </c>
      <c r="B133" s="7" t="s">
        <v>205</v>
      </c>
      <c r="C133" s="7"/>
      <c r="D133" s="7" t="s">
        <v>203</v>
      </c>
      <c r="E133" s="7" t="s">
        <v>202</v>
      </c>
      <c r="F133" s="7" t="s">
        <v>13</v>
      </c>
    </row>
    <row r="134" spans="1:6" ht="33" x14ac:dyDescent="0.25">
      <c r="A134" s="6" t="s">
        <v>2128</v>
      </c>
      <c r="B134" s="7" t="s">
        <v>2129</v>
      </c>
      <c r="C134" s="7" t="s">
        <v>576</v>
      </c>
      <c r="D134" s="7" t="s">
        <v>2130</v>
      </c>
      <c r="E134" s="7" t="s">
        <v>2131</v>
      </c>
      <c r="F134" s="7" t="s">
        <v>57</v>
      </c>
    </row>
    <row r="135" spans="1:6" ht="33" x14ac:dyDescent="0.25">
      <c r="A135" s="6" t="s">
        <v>524</v>
      </c>
      <c r="B135" s="7" t="s">
        <v>523</v>
      </c>
      <c r="C135" s="7"/>
      <c r="D135" s="7" t="s">
        <v>525</v>
      </c>
      <c r="E135" s="7" t="s">
        <v>526</v>
      </c>
      <c r="F135" s="7" t="s">
        <v>57</v>
      </c>
    </row>
    <row r="136" spans="1:6" ht="49.5" x14ac:dyDescent="0.25">
      <c r="A136" s="6" t="s">
        <v>527</v>
      </c>
      <c r="B136" s="7" t="s">
        <v>523</v>
      </c>
      <c r="C136" s="7" t="s">
        <v>528</v>
      </c>
      <c r="D136" s="7" t="s">
        <v>529</v>
      </c>
      <c r="E136" s="7" t="s">
        <v>530</v>
      </c>
      <c r="F136" s="7" t="s">
        <v>57</v>
      </c>
    </row>
    <row r="137" spans="1:6" ht="33" x14ac:dyDescent="0.25">
      <c r="A137" s="6" t="s">
        <v>1200</v>
      </c>
      <c r="B137" s="7" t="s">
        <v>1201</v>
      </c>
      <c r="C137" s="7"/>
      <c r="D137" s="7" t="s">
        <v>1202</v>
      </c>
      <c r="E137" s="7" t="s">
        <v>1203</v>
      </c>
      <c r="F137" s="7" t="s">
        <v>13</v>
      </c>
    </row>
    <row r="138" spans="1:6" ht="33" x14ac:dyDescent="0.25">
      <c r="A138" s="6" t="s">
        <v>1159</v>
      </c>
      <c r="B138" s="7" t="s">
        <v>1160</v>
      </c>
      <c r="C138" s="7"/>
      <c r="D138" s="7" t="s">
        <v>1161</v>
      </c>
      <c r="E138" s="7" t="s">
        <v>1162</v>
      </c>
      <c r="F138" s="7" t="s">
        <v>13</v>
      </c>
    </row>
    <row r="139" spans="1:6" ht="33" x14ac:dyDescent="0.25">
      <c r="A139" s="6" t="s">
        <v>1387</v>
      </c>
      <c r="B139" s="7" t="s">
        <v>1160</v>
      </c>
      <c r="C139" s="7"/>
      <c r="D139" s="7" t="s">
        <v>1388</v>
      </c>
      <c r="E139" s="7" t="s">
        <v>1389</v>
      </c>
      <c r="F139" s="7" t="s">
        <v>13</v>
      </c>
    </row>
    <row r="140" spans="1:6" ht="33" x14ac:dyDescent="0.25">
      <c r="A140" s="6" t="s">
        <v>693</v>
      </c>
      <c r="B140" s="7" t="s">
        <v>692</v>
      </c>
      <c r="C140" s="7"/>
      <c r="D140" s="7" t="s">
        <v>694</v>
      </c>
      <c r="E140" s="7" t="s">
        <v>695</v>
      </c>
      <c r="F140" s="7" t="s">
        <v>13</v>
      </c>
    </row>
    <row r="141" spans="1:6" ht="33" x14ac:dyDescent="0.25">
      <c r="A141" s="6" t="s">
        <v>1301</v>
      </c>
      <c r="B141" s="7" t="s">
        <v>1302</v>
      </c>
      <c r="C141" s="7"/>
      <c r="D141" s="7" t="s">
        <v>1303</v>
      </c>
      <c r="E141" s="7" t="s">
        <v>1304</v>
      </c>
      <c r="F141" s="7" t="s">
        <v>13</v>
      </c>
    </row>
    <row r="142" spans="1:6" ht="33" x14ac:dyDescent="0.25">
      <c r="A142" s="6" t="s">
        <v>697</v>
      </c>
      <c r="B142" s="7" t="s">
        <v>696</v>
      </c>
      <c r="C142" s="7"/>
      <c r="D142" s="7" t="s">
        <v>698</v>
      </c>
      <c r="E142" s="7" t="s">
        <v>699</v>
      </c>
      <c r="F142" s="7" t="s">
        <v>13</v>
      </c>
    </row>
    <row r="143" spans="1:6" ht="33" x14ac:dyDescent="0.25">
      <c r="A143" s="6" t="s">
        <v>697</v>
      </c>
      <c r="B143" s="7" t="s">
        <v>696</v>
      </c>
      <c r="C143" s="7"/>
      <c r="D143" s="7" t="s">
        <v>698</v>
      </c>
      <c r="E143" s="7" t="s">
        <v>1360</v>
      </c>
      <c r="F143" s="7" t="s">
        <v>13</v>
      </c>
    </row>
    <row r="144" spans="1:6" ht="33" x14ac:dyDescent="0.25">
      <c r="A144" s="6" t="s">
        <v>2374</v>
      </c>
      <c r="B144" s="7" t="s">
        <v>2375</v>
      </c>
      <c r="C144" s="7" t="s">
        <v>1109</v>
      </c>
      <c r="D144" s="7" t="s">
        <v>1780</v>
      </c>
      <c r="E144" s="7" t="s">
        <v>2376</v>
      </c>
      <c r="F144" s="7" t="s">
        <v>145</v>
      </c>
    </row>
    <row r="145" spans="1:6" ht="33" x14ac:dyDescent="0.25">
      <c r="A145" s="6" t="s">
        <v>2363</v>
      </c>
      <c r="B145" s="7" t="s">
        <v>2364</v>
      </c>
      <c r="C145" s="7"/>
      <c r="D145" s="7" t="s">
        <v>1084</v>
      </c>
      <c r="E145" s="7" t="s">
        <v>2365</v>
      </c>
      <c r="F145" s="7" t="s">
        <v>74</v>
      </c>
    </row>
    <row r="146" spans="1:6" ht="33" x14ac:dyDescent="0.25">
      <c r="A146" s="6" t="s">
        <v>701</v>
      </c>
      <c r="B146" s="7" t="s">
        <v>700</v>
      </c>
      <c r="C146" s="7"/>
      <c r="D146" s="7" t="s">
        <v>702</v>
      </c>
      <c r="E146" s="7" t="s">
        <v>703</v>
      </c>
      <c r="F146" s="7" t="s">
        <v>13</v>
      </c>
    </row>
    <row r="147" spans="1:6" ht="33" x14ac:dyDescent="0.25">
      <c r="A147" s="6" t="s">
        <v>701</v>
      </c>
      <c r="B147" s="7" t="s">
        <v>700</v>
      </c>
      <c r="C147" s="7"/>
      <c r="D147" s="7" t="s">
        <v>704</v>
      </c>
      <c r="E147" s="7" t="s">
        <v>703</v>
      </c>
      <c r="F147" s="7" t="s">
        <v>13</v>
      </c>
    </row>
    <row r="148" spans="1:6" ht="33" x14ac:dyDescent="0.25">
      <c r="A148" s="6" t="s">
        <v>706</v>
      </c>
      <c r="B148" s="7" t="s">
        <v>705</v>
      </c>
      <c r="C148" s="7"/>
      <c r="D148" s="7" t="s">
        <v>707</v>
      </c>
      <c r="E148" s="7" t="s">
        <v>708</v>
      </c>
      <c r="F148" s="7" t="s">
        <v>13</v>
      </c>
    </row>
    <row r="149" spans="1:6" ht="33" x14ac:dyDescent="0.25">
      <c r="A149" s="6" t="s">
        <v>1364</v>
      </c>
      <c r="B149" s="7" t="s">
        <v>1365</v>
      </c>
      <c r="C149" s="7"/>
      <c r="D149" s="7" t="s">
        <v>1366</v>
      </c>
      <c r="E149" s="7" t="s">
        <v>1367</v>
      </c>
      <c r="F149" s="7" t="s">
        <v>13</v>
      </c>
    </row>
    <row r="150" spans="1:6" ht="33" x14ac:dyDescent="0.25">
      <c r="A150" s="6" t="s">
        <v>1583</v>
      </c>
      <c r="B150" s="7" t="s">
        <v>1584</v>
      </c>
      <c r="C150" s="7"/>
      <c r="D150" s="7" t="s">
        <v>1585</v>
      </c>
      <c r="E150" s="7" t="s">
        <v>1586</v>
      </c>
      <c r="F150" s="7" t="s">
        <v>145</v>
      </c>
    </row>
    <row r="151" spans="1:6" ht="33" x14ac:dyDescent="0.25">
      <c r="A151" s="6" t="s">
        <v>291</v>
      </c>
      <c r="B151" s="7" t="s">
        <v>290</v>
      </c>
      <c r="C151" s="7" t="s">
        <v>292</v>
      </c>
      <c r="D151" s="7" t="s">
        <v>293</v>
      </c>
      <c r="E151" s="7" t="s">
        <v>294</v>
      </c>
      <c r="F151" s="7" t="s">
        <v>145</v>
      </c>
    </row>
    <row r="152" spans="1:6" ht="33" x14ac:dyDescent="0.25">
      <c r="A152" s="6" t="s">
        <v>1285</v>
      </c>
      <c r="B152" s="7" t="s">
        <v>1286</v>
      </c>
      <c r="C152" s="7"/>
      <c r="D152" s="7" t="s">
        <v>1287</v>
      </c>
      <c r="E152" s="7" t="s">
        <v>1288</v>
      </c>
      <c r="F152" s="7" t="s">
        <v>74</v>
      </c>
    </row>
    <row r="153" spans="1:6" ht="33" x14ac:dyDescent="0.25">
      <c r="A153" s="6" t="s">
        <v>1258</v>
      </c>
      <c r="B153" s="7" t="s">
        <v>1259</v>
      </c>
      <c r="C153" s="7"/>
      <c r="D153" s="7" t="s">
        <v>1260</v>
      </c>
      <c r="E153" s="7" t="s">
        <v>1261</v>
      </c>
      <c r="F153" s="7" t="s">
        <v>13</v>
      </c>
    </row>
    <row r="154" spans="1:6" ht="33" x14ac:dyDescent="0.25">
      <c r="A154" s="6" t="s">
        <v>1994</v>
      </c>
      <c r="B154" s="7" t="s">
        <v>1995</v>
      </c>
      <c r="C154" s="7" t="s">
        <v>1996</v>
      </c>
      <c r="D154" s="7" t="s">
        <v>1997</v>
      </c>
      <c r="E154" s="7" t="s">
        <v>1998</v>
      </c>
      <c r="F154" s="7" t="s">
        <v>145</v>
      </c>
    </row>
    <row r="155" spans="1:6" ht="33" x14ac:dyDescent="0.25">
      <c r="A155" s="6" t="s">
        <v>713</v>
      </c>
      <c r="B155" s="7" t="s">
        <v>712</v>
      </c>
      <c r="C155" s="7" t="s">
        <v>714</v>
      </c>
      <c r="D155" s="7" t="s">
        <v>715</v>
      </c>
      <c r="E155" s="7" t="s">
        <v>716</v>
      </c>
      <c r="F155" s="7" t="s">
        <v>13</v>
      </c>
    </row>
    <row r="156" spans="1:6" ht="33" x14ac:dyDescent="0.25">
      <c r="A156" s="6" t="s">
        <v>1052</v>
      </c>
      <c r="B156" s="7" t="s">
        <v>1053</v>
      </c>
      <c r="C156" s="7" t="s">
        <v>1054</v>
      </c>
      <c r="D156" s="7" t="s">
        <v>1055</v>
      </c>
      <c r="E156" s="7" t="s">
        <v>1056</v>
      </c>
      <c r="F156" s="7" t="s">
        <v>74</v>
      </c>
    </row>
    <row r="157" spans="1:6" ht="33" x14ac:dyDescent="0.25">
      <c r="A157" s="6" t="s">
        <v>23</v>
      </c>
      <c r="B157" s="7" t="s">
        <v>24</v>
      </c>
      <c r="C157" s="7"/>
      <c r="D157" s="7" t="s">
        <v>22</v>
      </c>
      <c r="E157" s="7" t="s">
        <v>21</v>
      </c>
      <c r="F157" s="7" t="s">
        <v>13</v>
      </c>
    </row>
    <row r="158" spans="1:6" ht="33" x14ac:dyDescent="0.25">
      <c r="A158" s="6" t="s">
        <v>1594</v>
      </c>
      <c r="B158" s="7" t="s">
        <v>1595</v>
      </c>
      <c r="C158" s="7"/>
      <c r="D158" s="7" t="s">
        <v>1596</v>
      </c>
      <c r="E158" s="7" t="s">
        <v>1597</v>
      </c>
      <c r="F158" s="7" t="s">
        <v>145</v>
      </c>
    </row>
    <row r="159" spans="1:6" ht="33" x14ac:dyDescent="0.25">
      <c r="A159" s="6" t="s">
        <v>1069</v>
      </c>
      <c r="B159" s="7" t="s">
        <v>1070</v>
      </c>
      <c r="C159" s="7"/>
      <c r="D159" s="7" t="s">
        <v>1071</v>
      </c>
      <c r="E159" s="7" t="s">
        <v>1072</v>
      </c>
      <c r="F159" s="7" t="s">
        <v>13</v>
      </c>
    </row>
    <row r="160" spans="1:6" ht="33" x14ac:dyDescent="0.25">
      <c r="A160" s="6" t="s">
        <v>1880</v>
      </c>
      <c r="B160" s="7" t="s">
        <v>1881</v>
      </c>
      <c r="C160" s="7" t="s">
        <v>1882</v>
      </c>
      <c r="D160" s="7" t="s">
        <v>1883</v>
      </c>
      <c r="E160" s="7" t="s">
        <v>1884</v>
      </c>
      <c r="F160" s="7" t="s">
        <v>46</v>
      </c>
    </row>
    <row r="161" spans="1:6" ht="49.5" x14ac:dyDescent="0.25">
      <c r="A161" s="6" t="s">
        <v>296</v>
      </c>
      <c r="B161" s="7" t="s">
        <v>295</v>
      </c>
      <c r="C161" s="7"/>
      <c r="D161" s="7" t="s">
        <v>297</v>
      </c>
      <c r="E161" s="7" t="s">
        <v>298</v>
      </c>
      <c r="F161" s="7" t="s">
        <v>13</v>
      </c>
    </row>
    <row r="162" spans="1:6" ht="33" x14ac:dyDescent="0.25">
      <c r="A162" s="6" t="s">
        <v>1175</v>
      </c>
      <c r="B162" s="7" t="s">
        <v>1176</v>
      </c>
      <c r="C162" s="7"/>
      <c r="D162" s="7" t="s">
        <v>1177</v>
      </c>
      <c r="E162" s="7" t="s">
        <v>1178</v>
      </c>
      <c r="F162" s="7" t="s">
        <v>13</v>
      </c>
    </row>
    <row r="163" spans="1:6" ht="33" x14ac:dyDescent="0.25">
      <c r="A163" s="6" t="s">
        <v>2323</v>
      </c>
      <c r="B163" s="7" t="s">
        <v>2324</v>
      </c>
      <c r="C163" s="7"/>
      <c r="D163" s="7" t="s">
        <v>1084</v>
      </c>
      <c r="E163" s="7" t="s">
        <v>2325</v>
      </c>
      <c r="F163" s="7" t="s">
        <v>2111</v>
      </c>
    </row>
    <row r="164" spans="1:6" ht="33" x14ac:dyDescent="0.25">
      <c r="A164" s="6" t="s">
        <v>2187</v>
      </c>
      <c r="B164" s="7" t="s">
        <v>2188</v>
      </c>
      <c r="C164" s="7"/>
      <c r="D164" s="7" t="s">
        <v>1664</v>
      </c>
      <c r="E164" s="7" t="s">
        <v>2189</v>
      </c>
      <c r="F164" s="7" t="s">
        <v>145</v>
      </c>
    </row>
    <row r="165" spans="1:6" ht="33" x14ac:dyDescent="0.25">
      <c r="A165" s="6" t="s">
        <v>718</v>
      </c>
      <c r="B165" s="7" t="s">
        <v>717</v>
      </c>
      <c r="C165" s="7"/>
      <c r="D165" s="7" t="s">
        <v>719</v>
      </c>
      <c r="E165" s="7" t="s">
        <v>720</v>
      </c>
      <c r="F165" s="7" t="s">
        <v>74</v>
      </c>
    </row>
    <row r="166" spans="1:6" ht="33" x14ac:dyDescent="0.25">
      <c r="A166" s="6" t="s">
        <v>532</v>
      </c>
      <c r="B166" s="7" t="s">
        <v>531</v>
      </c>
      <c r="C166" s="7"/>
      <c r="D166" s="7" t="s">
        <v>533</v>
      </c>
      <c r="E166" s="7" t="s">
        <v>534</v>
      </c>
      <c r="F166" s="7" t="s">
        <v>535</v>
      </c>
    </row>
    <row r="167" spans="1:6" ht="33" x14ac:dyDescent="0.25">
      <c r="A167" s="6" t="s">
        <v>722</v>
      </c>
      <c r="B167" s="7" t="s">
        <v>721</v>
      </c>
      <c r="C167" s="7"/>
      <c r="D167" s="7" t="s">
        <v>723</v>
      </c>
      <c r="E167" s="7" t="s">
        <v>724</v>
      </c>
      <c r="F167" s="7" t="s">
        <v>13</v>
      </c>
    </row>
    <row r="168" spans="1:6" ht="33" x14ac:dyDescent="0.25">
      <c r="A168" s="6" t="s">
        <v>726</v>
      </c>
      <c r="B168" s="7" t="s">
        <v>725</v>
      </c>
      <c r="C168" s="7"/>
      <c r="D168" s="7" t="s">
        <v>727</v>
      </c>
      <c r="E168" s="7" t="s">
        <v>728</v>
      </c>
      <c r="F168" s="7" t="s">
        <v>13</v>
      </c>
    </row>
    <row r="169" spans="1:6" ht="33" x14ac:dyDescent="0.25">
      <c r="A169" s="6" t="s">
        <v>1405</v>
      </c>
      <c r="B169" s="7" t="s">
        <v>1406</v>
      </c>
      <c r="C169" s="7"/>
      <c r="D169" s="7" t="s">
        <v>1407</v>
      </c>
      <c r="E169" s="7" t="s">
        <v>1408</v>
      </c>
      <c r="F169" s="7" t="s">
        <v>13</v>
      </c>
    </row>
    <row r="170" spans="1:6" ht="33" x14ac:dyDescent="0.25">
      <c r="A170" s="6" t="s">
        <v>2218</v>
      </c>
      <c r="B170" s="7" t="s">
        <v>2219</v>
      </c>
      <c r="C170" s="7" t="s">
        <v>2220</v>
      </c>
      <c r="D170" s="7" t="s">
        <v>2221</v>
      </c>
      <c r="E170" s="7" t="s">
        <v>2222</v>
      </c>
      <c r="F170" s="7" t="s">
        <v>46</v>
      </c>
    </row>
    <row r="171" spans="1:6" ht="33" x14ac:dyDescent="0.25">
      <c r="A171" s="6" t="s">
        <v>730</v>
      </c>
      <c r="B171" s="7" t="s">
        <v>729</v>
      </c>
      <c r="C171" s="7" t="s">
        <v>731</v>
      </c>
      <c r="D171" s="7" t="s">
        <v>732</v>
      </c>
      <c r="E171" s="7" t="s">
        <v>724</v>
      </c>
      <c r="F171" s="7" t="s">
        <v>13</v>
      </c>
    </row>
    <row r="172" spans="1:6" ht="33" x14ac:dyDescent="0.25">
      <c r="A172" s="6" t="s">
        <v>2357</v>
      </c>
      <c r="B172" s="7" t="s">
        <v>2358</v>
      </c>
      <c r="C172" s="7"/>
      <c r="D172" s="7" t="s">
        <v>1899</v>
      </c>
      <c r="E172" s="7" t="s">
        <v>2359</v>
      </c>
      <c r="F172" s="7" t="s">
        <v>46</v>
      </c>
    </row>
    <row r="173" spans="1:6" ht="33" x14ac:dyDescent="0.25">
      <c r="A173" s="6" t="s">
        <v>1700</v>
      </c>
      <c r="B173" s="7" t="s">
        <v>1701</v>
      </c>
      <c r="C173" s="7"/>
      <c r="D173" s="7" t="s">
        <v>1702</v>
      </c>
      <c r="E173" s="7" t="s">
        <v>1703</v>
      </c>
      <c r="F173" s="7" t="s">
        <v>145</v>
      </c>
    </row>
    <row r="174" spans="1:6" ht="33" x14ac:dyDescent="0.25">
      <c r="A174" s="6" t="s">
        <v>214</v>
      </c>
      <c r="B174" s="7" t="s">
        <v>215</v>
      </c>
      <c r="C174" s="7"/>
      <c r="D174" s="7" t="s">
        <v>213</v>
      </c>
      <c r="E174" s="7" t="s">
        <v>246</v>
      </c>
      <c r="F174" s="7" t="s">
        <v>13</v>
      </c>
    </row>
    <row r="175" spans="1:6" ht="33" x14ac:dyDescent="0.25">
      <c r="A175" s="6" t="s">
        <v>1957</v>
      </c>
      <c r="B175" s="7" t="s">
        <v>1958</v>
      </c>
      <c r="C175" s="7" t="s">
        <v>1959</v>
      </c>
      <c r="D175" s="7" t="s">
        <v>1287</v>
      </c>
      <c r="E175" s="7" t="s">
        <v>1960</v>
      </c>
      <c r="F175" s="7" t="s">
        <v>26</v>
      </c>
    </row>
    <row r="176" spans="1:6" ht="49.5" x14ac:dyDescent="0.25">
      <c r="A176" s="6" t="s">
        <v>1598</v>
      </c>
      <c r="B176" s="7" t="s">
        <v>1599</v>
      </c>
      <c r="C176" s="7"/>
      <c r="D176" s="7" t="s">
        <v>1600</v>
      </c>
      <c r="E176" s="7" t="s">
        <v>1601</v>
      </c>
      <c r="F176" s="7" t="s">
        <v>145</v>
      </c>
    </row>
    <row r="177" spans="1:6" ht="33" x14ac:dyDescent="0.25">
      <c r="A177" s="6" t="s">
        <v>300</v>
      </c>
      <c r="B177" s="7" t="s">
        <v>299</v>
      </c>
      <c r="C177" s="7"/>
      <c r="D177" s="7" t="s">
        <v>301</v>
      </c>
      <c r="E177" s="7" t="s">
        <v>302</v>
      </c>
      <c r="F177" s="7" t="s">
        <v>145</v>
      </c>
    </row>
    <row r="178" spans="1:6" ht="49.5" x14ac:dyDescent="0.25">
      <c r="A178" s="6" t="s">
        <v>1221</v>
      </c>
      <c r="B178" s="7" t="s">
        <v>1222</v>
      </c>
      <c r="C178" s="7"/>
      <c r="D178" s="7" t="s">
        <v>1223</v>
      </c>
      <c r="E178" s="7" t="s">
        <v>1224</v>
      </c>
      <c r="F178" s="7" t="s">
        <v>13</v>
      </c>
    </row>
    <row r="179" spans="1:6" ht="33" x14ac:dyDescent="0.25">
      <c r="A179" s="6" t="s">
        <v>734</v>
      </c>
      <c r="B179" s="7" t="s">
        <v>733</v>
      </c>
      <c r="C179" s="7"/>
      <c r="D179" s="7" t="s">
        <v>735</v>
      </c>
      <c r="E179" s="7" t="s">
        <v>736</v>
      </c>
      <c r="F179" s="7" t="s">
        <v>145</v>
      </c>
    </row>
    <row r="180" spans="1:6" ht="49.5" x14ac:dyDescent="0.25">
      <c r="A180" s="6" t="s">
        <v>1733</v>
      </c>
      <c r="B180" s="7" t="s">
        <v>1734</v>
      </c>
      <c r="C180" s="7"/>
      <c r="D180" s="7" t="s">
        <v>1735</v>
      </c>
      <c r="E180" s="7" t="s">
        <v>1736</v>
      </c>
      <c r="F180" s="7" t="s">
        <v>1737</v>
      </c>
    </row>
    <row r="181" spans="1:6" ht="33" x14ac:dyDescent="0.25">
      <c r="A181" s="6" t="s">
        <v>88</v>
      </c>
      <c r="B181" s="7" t="s">
        <v>89</v>
      </c>
      <c r="C181" s="7" t="s">
        <v>86</v>
      </c>
      <c r="D181" s="7" t="s">
        <v>87</v>
      </c>
      <c r="E181" s="7" t="s">
        <v>85</v>
      </c>
      <c r="F181" s="7" t="s">
        <v>57</v>
      </c>
    </row>
    <row r="182" spans="1:6" ht="33" x14ac:dyDescent="0.25">
      <c r="A182" s="6" t="s">
        <v>1183</v>
      </c>
      <c r="B182" s="7" t="s">
        <v>1184</v>
      </c>
      <c r="C182" s="7"/>
      <c r="D182" s="7" t="s">
        <v>1185</v>
      </c>
      <c r="E182" s="7" t="s">
        <v>1186</v>
      </c>
      <c r="F182" s="7" t="s">
        <v>13</v>
      </c>
    </row>
    <row r="183" spans="1:6" ht="33" x14ac:dyDescent="0.25">
      <c r="A183" s="6" t="s">
        <v>1078</v>
      </c>
      <c r="B183" s="7" t="s">
        <v>1079</v>
      </c>
      <c r="C183" s="7"/>
      <c r="D183" s="7" t="s">
        <v>1080</v>
      </c>
      <c r="E183" s="7" t="s">
        <v>1081</v>
      </c>
      <c r="F183" s="7" t="s">
        <v>13</v>
      </c>
    </row>
    <row r="184" spans="1:6" ht="49.5" x14ac:dyDescent="0.25">
      <c r="A184" s="8" t="s">
        <v>2549</v>
      </c>
      <c r="B184" s="9" t="s">
        <v>2550</v>
      </c>
      <c r="C184" s="9"/>
      <c r="D184" s="9" t="s">
        <v>2551</v>
      </c>
      <c r="E184" s="9" t="s">
        <v>2552</v>
      </c>
      <c r="F184" s="9" t="s">
        <v>57</v>
      </c>
    </row>
    <row r="185" spans="1:6" ht="33" x14ac:dyDescent="0.25">
      <c r="A185" s="6" t="s">
        <v>304</v>
      </c>
      <c r="B185" s="7" t="s">
        <v>303</v>
      </c>
      <c r="C185" s="7"/>
      <c r="D185" s="7" t="s">
        <v>305</v>
      </c>
      <c r="E185" s="7" t="s">
        <v>306</v>
      </c>
      <c r="F185" s="7" t="s">
        <v>13</v>
      </c>
    </row>
    <row r="186" spans="1:6" ht="33" x14ac:dyDescent="0.25">
      <c r="A186" s="6" t="s">
        <v>1327</v>
      </c>
      <c r="B186" s="7" t="s">
        <v>1328</v>
      </c>
      <c r="C186" s="7"/>
      <c r="D186" s="7" t="s">
        <v>1329</v>
      </c>
      <c r="E186" s="7" t="s">
        <v>1330</v>
      </c>
      <c r="F186" s="7" t="s">
        <v>13</v>
      </c>
    </row>
    <row r="187" spans="1:6" ht="33" x14ac:dyDescent="0.25">
      <c r="A187" s="6" t="s">
        <v>537</v>
      </c>
      <c r="B187" s="7" t="s">
        <v>536</v>
      </c>
      <c r="C187" s="7"/>
      <c r="D187" s="7" t="s">
        <v>538</v>
      </c>
      <c r="E187" s="7" t="s">
        <v>539</v>
      </c>
      <c r="F187" s="7" t="s">
        <v>26</v>
      </c>
    </row>
    <row r="188" spans="1:6" ht="66" x14ac:dyDescent="0.25">
      <c r="A188" s="6" t="s">
        <v>738</v>
      </c>
      <c r="B188" s="7" t="s">
        <v>737</v>
      </c>
      <c r="C188" s="7"/>
      <c r="D188" s="7" t="s">
        <v>739</v>
      </c>
      <c r="E188" s="7" t="s">
        <v>740</v>
      </c>
      <c r="F188" s="7" t="s">
        <v>13</v>
      </c>
    </row>
    <row r="189" spans="1:6" ht="33" x14ac:dyDescent="0.25">
      <c r="A189" s="6" t="s">
        <v>1954</v>
      </c>
      <c r="B189" s="7" t="s">
        <v>1955</v>
      </c>
      <c r="C189" s="7" t="s">
        <v>1041</v>
      </c>
      <c r="D189" s="7" t="s">
        <v>1050</v>
      </c>
      <c r="E189" s="7" t="s">
        <v>1956</v>
      </c>
      <c r="F189" s="7" t="s">
        <v>26</v>
      </c>
    </row>
    <row r="190" spans="1:6" x14ac:dyDescent="0.25">
      <c r="A190" s="6" t="s">
        <v>1717</v>
      </c>
      <c r="B190" s="7" t="s">
        <v>1718</v>
      </c>
      <c r="C190" s="7" t="s">
        <v>1709</v>
      </c>
      <c r="D190" s="7" t="s">
        <v>1719</v>
      </c>
      <c r="E190" s="7" t="s">
        <v>1720</v>
      </c>
      <c r="F190" s="7" t="s">
        <v>74</v>
      </c>
    </row>
    <row r="191" spans="1:6" ht="33" x14ac:dyDescent="0.25">
      <c r="A191" s="6" t="s">
        <v>2173</v>
      </c>
      <c r="B191" s="7" t="s">
        <v>2174</v>
      </c>
      <c r="C191" s="7"/>
      <c r="D191" s="7" t="s">
        <v>2175</v>
      </c>
      <c r="E191" s="7" t="s">
        <v>2176</v>
      </c>
      <c r="F191" s="7" t="s">
        <v>2177</v>
      </c>
    </row>
    <row r="192" spans="1:6" ht="33" x14ac:dyDescent="0.25">
      <c r="A192" s="6" t="s">
        <v>308</v>
      </c>
      <c r="B192" s="7" t="s">
        <v>307</v>
      </c>
      <c r="C192" s="7"/>
      <c r="D192" s="7" t="s">
        <v>309</v>
      </c>
      <c r="E192" s="7" t="s">
        <v>310</v>
      </c>
      <c r="F192" s="7" t="s">
        <v>145</v>
      </c>
    </row>
    <row r="193" spans="1:6" ht="33" x14ac:dyDescent="0.25">
      <c r="A193" s="6" t="s">
        <v>1769</v>
      </c>
      <c r="B193" s="7" t="s">
        <v>1770</v>
      </c>
      <c r="C193" s="7" t="s">
        <v>1629</v>
      </c>
      <c r="D193" s="7" t="s">
        <v>1771</v>
      </c>
      <c r="E193" s="7" t="s">
        <v>1772</v>
      </c>
      <c r="F193" s="7" t="s">
        <v>145</v>
      </c>
    </row>
    <row r="194" spans="1:6" ht="33" x14ac:dyDescent="0.25">
      <c r="A194" s="6" t="s">
        <v>1421</v>
      </c>
      <c r="B194" s="7" t="s">
        <v>1422</v>
      </c>
      <c r="C194" s="7"/>
      <c r="D194" s="7" t="s">
        <v>1423</v>
      </c>
      <c r="E194" s="7" t="s">
        <v>1424</v>
      </c>
      <c r="F194" s="7" t="s">
        <v>13</v>
      </c>
    </row>
    <row r="195" spans="1:6" ht="33" x14ac:dyDescent="0.25">
      <c r="A195" s="6" t="s">
        <v>967</v>
      </c>
      <c r="B195" s="7" t="s">
        <v>968</v>
      </c>
      <c r="C195" s="7"/>
      <c r="D195" s="7" t="s">
        <v>969</v>
      </c>
      <c r="E195" s="7" t="s">
        <v>970</v>
      </c>
      <c r="F195" s="7" t="s">
        <v>13</v>
      </c>
    </row>
    <row r="196" spans="1:6" ht="33" x14ac:dyDescent="0.25">
      <c r="A196" s="6" t="s">
        <v>2403</v>
      </c>
      <c r="B196" s="7" t="s">
        <v>2404</v>
      </c>
      <c r="C196" s="7"/>
      <c r="D196" s="7" t="s">
        <v>2047</v>
      </c>
      <c r="E196" s="7" t="s">
        <v>2405</v>
      </c>
      <c r="F196" s="7" t="s">
        <v>145</v>
      </c>
    </row>
    <row r="197" spans="1:6" ht="33" x14ac:dyDescent="0.25">
      <c r="A197" s="6" t="s">
        <v>2123</v>
      </c>
      <c r="B197" s="7" t="s">
        <v>2124</v>
      </c>
      <c r="C197" s="7" t="s">
        <v>2125</v>
      </c>
      <c r="D197" s="7" t="s">
        <v>2126</v>
      </c>
      <c r="E197" s="7" t="s">
        <v>2127</v>
      </c>
      <c r="F197" s="7" t="s">
        <v>57</v>
      </c>
    </row>
    <row r="198" spans="1:6" ht="33" x14ac:dyDescent="0.25">
      <c r="A198" s="6" t="s">
        <v>2132</v>
      </c>
      <c r="B198" s="7" t="s">
        <v>2124</v>
      </c>
      <c r="C198" s="7" t="s">
        <v>2125</v>
      </c>
      <c r="D198" s="7" t="s">
        <v>2133</v>
      </c>
      <c r="E198" s="7" t="s">
        <v>2134</v>
      </c>
      <c r="F198" s="7" t="s">
        <v>57</v>
      </c>
    </row>
    <row r="199" spans="1:6" ht="33" x14ac:dyDescent="0.25">
      <c r="A199" s="6" t="s">
        <v>2143</v>
      </c>
      <c r="B199" s="7" t="s">
        <v>2124</v>
      </c>
      <c r="C199" s="7" t="s">
        <v>2144</v>
      </c>
      <c r="D199" s="7" t="s">
        <v>2145</v>
      </c>
      <c r="E199" s="7" t="s">
        <v>2146</v>
      </c>
      <c r="F199" s="7" t="s">
        <v>57</v>
      </c>
    </row>
    <row r="200" spans="1:6" ht="33" x14ac:dyDescent="0.25">
      <c r="A200" s="6" t="s">
        <v>148</v>
      </c>
      <c r="B200" s="7" t="s">
        <v>149</v>
      </c>
      <c r="C200" s="7" t="s">
        <v>146</v>
      </c>
      <c r="D200" s="7" t="s">
        <v>147</v>
      </c>
      <c r="E200" s="7" t="s">
        <v>144</v>
      </c>
      <c r="F200" s="7" t="s">
        <v>145</v>
      </c>
    </row>
    <row r="201" spans="1:6" ht="33" x14ac:dyDescent="0.25">
      <c r="A201" s="6" t="s">
        <v>2268</v>
      </c>
      <c r="B201" s="7" t="s">
        <v>2269</v>
      </c>
      <c r="C201" s="7"/>
      <c r="D201" s="7" t="s">
        <v>1287</v>
      </c>
      <c r="E201" s="7" t="s">
        <v>2270</v>
      </c>
      <c r="F201" s="7" t="s">
        <v>145</v>
      </c>
    </row>
    <row r="202" spans="1:6" ht="33" x14ac:dyDescent="0.25">
      <c r="A202" s="6" t="s">
        <v>1873</v>
      </c>
      <c r="B202" s="7" t="s">
        <v>1874</v>
      </c>
      <c r="C202" s="7" t="s">
        <v>1875</v>
      </c>
      <c r="D202" s="7" t="s">
        <v>1802</v>
      </c>
      <c r="E202" s="7" t="s">
        <v>1876</v>
      </c>
      <c r="F202" s="7" t="s">
        <v>46</v>
      </c>
    </row>
    <row r="203" spans="1:6" x14ac:dyDescent="0.25">
      <c r="A203" s="6" t="s">
        <v>2377</v>
      </c>
      <c r="B203" s="7" t="s">
        <v>2378</v>
      </c>
      <c r="C203" s="7" t="s">
        <v>2379</v>
      </c>
      <c r="D203" s="7" t="s">
        <v>2380</v>
      </c>
      <c r="E203" s="7" t="s">
        <v>2381</v>
      </c>
      <c r="F203" s="7" t="s">
        <v>74</v>
      </c>
    </row>
    <row r="204" spans="1:6" ht="33" x14ac:dyDescent="0.25">
      <c r="A204" s="6" t="s">
        <v>2235</v>
      </c>
      <c r="B204" s="7" t="s">
        <v>2236</v>
      </c>
      <c r="C204" s="7"/>
      <c r="D204" s="7" t="s">
        <v>1664</v>
      </c>
      <c r="E204" s="7" t="s">
        <v>2237</v>
      </c>
      <c r="F204" s="7" t="s">
        <v>145</v>
      </c>
    </row>
    <row r="205" spans="1:6" ht="33" x14ac:dyDescent="0.25">
      <c r="A205" s="6" t="s">
        <v>2245</v>
      </c>
      <c r="B205" s="7" t="s">
        <v>2246</v>
      </c>
      <c r="C205" s="7"/>
      <c r="D205" s="7" t="s">
        <v>2247</v>
      </c>
      <c r="E205" s="7" t="s">
        <v>2248</v>
      </c>
      <c r="F205" s="7" t="s">
        <v>145</v>
      </c>
    </row>
    <row r="206" spans="1:6" ht="49.5" x14ac:dyDescent="0.25">
      <c r="A206" s="6" t="s">
        <v>1371</v>
      </c>
      <c r="B206" s="7" t="s">
        <v>1372</v>
      </c>
      <c r="C206" s="7"/>
      <c r="D206" s="7" t="s">
        <v>1373</v>
      </c>
      <c r="E206" s="7" t="s">
        <v>1374</v>
      </c>
      <c r="F206" s="7" t="s">
        <v>13</v>
      </c>
    </row>
    <row r="207" spans="1:6" ht="33" x14ac:dyDescent="0.25">
      <c r="A207" s="6" t="s">
        <v>1807</v>
      </c>
      <c r="B207" s="7" t="s">
        <v>1808</v>
      </c>
      <c r="C207" s="7"/>
      <c r="D207" s="7" t="s">
        <v>1419</v>
      </c>
      <c r="E207" s="7" t="s">
        <v>1809</v>
      </c>
      <c r="F207" s="7" t="s">
        <v>145</v>
      </c>
    </row>
    <row r="208" spans="1:6" ht="33" x14ac:dyDescent="0.25">
      <c r="A208" s="6" t="s">
        <v>1692</v>
      </c>
      <c r="B208" s="7" t="s">
        <v>1693</v>
      </c>
      <c r="C208" s="7" t="s">
        <v>555</v>
      </c>
      <c r="D208" s="7" t="s">
        <v>1694</v>
      </c>
      <c r="E208" s="7" t="s">
        <v>1695</v>
      </c>
      <c r="F208" s="7" t="s">
        <v>57</v>
      </c>
    </row>
    <row r="209" spans="1:6" ht="33" x14ac:dyDescent="0.25">
      <c r="A209" s="6" t="s">
        <v>2391</v>
      </c>
      <c r="B209" s="7" t="s">
        <v>2392</v>
      </c>
      <c r="C209" s="7" t="s">
        <v>234</v>
      </c>
      <c r="D209" s="7" t="s">
        <v>2393</v>
      </c>
      <c r="E209" s="7" t="s">
        <v>2394</v>
      </c>
      <c r="F209" s="7" t="s">
        <v>57</v>
      </c>
    </row>
    <row r="210" spans="1:6" ht="33" x14ac:dyDescent="0.25">
      <c r="A210" s="6" t="s">
        <v>2255</v>
      </c>
      <c r="B210" s="7" t="s">
        <v>2256</v>
      </c>
      <c r="C210" s="7" t="s">
        <v>1109</v>
      </c>
      <c r="D210" s="7" t="s">
        <v>2212</v>
      </c>
      <c r="E210" s="7" t="s">
        <v>2257</v>
      </c>
      <c r="F210" s="7" t="s">
        <v>145</v>
      </c>
    </row>
    <row r="211" spans="1:6" ht="33" x14ac:dyDescent="0.25">
      <c r="A211" s="6" t="s">
        <v>2165</v>
      </c>
      <c r="B211" s="7" t="s">
        <v>2166</v>
      </c>
      <c r="C211" s="7" t="s">
        <v>2167</v>
      </c>
      <c r="D211" s="7" t="s">
        <v>2168</v>
      </c>
      <c r="E211" s="7" t="s">
        <v>2169</v>
      </c>
      <c r="F211" s="7" t="s">
        <v>57</v>
      </c>
    </row>
    <row r="212" spans="1:6" ht="33" x14ac:dyDescent="0.25">
      <c r="A212" s="6" t="s">
        <v>2170</v>
      </c>
      <c r="B212" s="7" t="s">
        <v>2166</v>
      </c>
      <c r="C212" s="7"/>
      <c r="D212" s="7" t="s">
        <v>2171</v>
      </c>
      <c r="E212" s="7" t="s">
        <v>2172</v>
      </c>
      <c r="F212" s="7" t="s">
        <v>57</v>
      </c>
    </row>
    <row r="213" spans="1:6" ht="33" x14ac:dyDescent="0.25">
      <c r="A213" s="6" t="s">
        <v>2366</v>
      </c>
      <c r="B213" s="7" t="s">
        <v>2367</v>
      </c>
      <c r="C213" s="7"/>
      <c r="D213" s="7" t="s">
        <v>2368</v>
      </c>
      <c r="E213" s="7" t="s">
        <v>2369</v>
      </c>
      <c r="F213" s="7" t="s">
        <v>145</v>
      </c>
    </row>
    <row r="214" spans="1:6" ht="33" x14ac:dyDescent="0.25">
      <c r="A214" s="6" t="s">
        <v>742</v>
      </c>
      <c r="B214" s="7" t="s">
        <v>741</v>
      </c>
      <c r="C214" s="7"/>
      <c r="D214" s="7" t="s">
        <v>743</v>
      </c>
      <c r="E214" s="7" t="s">
        <v>744</v>
      </c>
      <c r="F214" s="7" t="s">
        <v>13</v>
      </c>
    </row>
    <row r="215" spans="1:6" ht="33" x14ac:dyDescent="0.25">
      <c r="A215" s="6" t="s">
        <v>1082</v>
      </c>
      <c r="B215" s="7" t="s">
        <v>1083</v>
      </c>
      <c r="C215" s="7"/>
      <c r="D215" s="7" t="s">
        <v>1084</v>
      </c>
      <c r="E215" s="7" t="s">
        <v>1085</v>
      </c>
      <c r="F215" s="7" t="s">
        <v>74</v>
      </c>
    </row>
    <row r="216" spans="1:6" ht="33" x14ac:dyDescent="0.25">
      <c r="A216" s="6" t="s">
        <v>541</v>
      </c>
      <c r="B216" s="7" t="s">
        <v>540</v>
      </c>
      <c r="C216" s="7"/>
      <c r="D216" s="7" t="s">
        <v>542</v>
      </c>
      <c r="E216" s="7" t="s">
        <v>543</v>
      </c>
      <c r="F216" s="7" t="s">
        <v>26</v>
      </c>
    </row>
    <row r="217" spans="1:6" ht="33" x14ac:dyDescent="0.25">
      <c r="A217" s="6" t="s">
        <v>1854</v>
      </c>
      <c r="B217" s="7" t="s">
        <v>1855</v>
      </c>
      <c r="C217" s="7"/>
      <c r="D217" s="7" t="s">
        <v>1856</v>
      </c>
      <c r="E217" s="7" t="s">
        <v>1857</v>
      </c>
      <c r="F217" s="7" t="s">
        <v>145</v>
      </c>
    </row>
    <row r="218" spans="1:6" ht="33" x14ac:dyDescent="0.25">
      <c r="A218" s="6" t="s">
        <v>2035</v>
      </c>
      <c r="B218" s="7" t="s">
        <v>2036</v>
      </c>
      <c r="C218" s="7"/>
      <c r="D218" s="7" t="s">
        <v>2037</v>
      </c>
      <c r="E218" s="7" t="s">
        <v>2038</v>
      </c>
      <c r="F218" s="7" t="s">
        <v>145</v>
      </c>
    </row>
    <row r="219" spans="1:6" ht="33" x14ac:dyDescent="0.25">
      <c r="A219" s="6" t="s">
        <v>1893</v>
      </c>
      <c r="B219" s="7" t="s">
        <v>1894</v>
      </c>
      <c r="C219" s="7"/>
      <c r="D219" s="7" t="s">
        <v>1895</v>
      </c>
      <c r="E219" s="7" t="s">
        <v>1896</v>
      </c>
      <c r="F219" s="7" t="s">
        <v>74</v>
      </c>
    </row>
    <row r="220" spans="1:6" ht="33" x14ac:dyDescent="0.25">
      <c r="A220" s="6" t="s">
        <v>2231</v>
      </c>
      <c r="B220" s="7" t="s">
        <v>2232</v>
      </c>
      <c r="C220" s="7"/>
      <c r="D220" s="7" t="s">
        <v>2233</v>
      </c>
      <c r="E220" s="7" t="s">
        <v>2234</v>
      </c>
      <c r="F220" s="7" t="s">
        <v>13</v>
      </c>
    </row>
    <row r="221" spans="1:6" ht="33" x14ac:dyDescent="0.25">
      <c r="A221" s="6" t="s">
        <v>1988</v>
      </c>
      <c r="B221" s="7" t="s">
        <v>1989</v>
      </c>
      <c r="C221" s="7"/>
      <c r="D221" s="7" t="s">
        <v>1990</v>
      </c>
      <c r="E221" s="7" t="s">
        <v>1991</v>
      </c>
      <c r="F221" s="7" t="s">
        <v>13</v>
      </c>
    </row>
    <row r="222" spans="1:6" ht="33" x14ac:dyDescent="0.25">
      <c r="A222" s="6" t="s">
        <v>746</v>
      </c>
      <c r="B222" s="7" t="s">
        <v>745</v>
      </c>
      <c r="C222" s="7"/>
      <c r="D222" s="7" t="s">
        <v>747</v>
      </c>
      <c r="E222" s="7" t="s">
        <v>748</v>
      </c>
      <c r="F222" s="7" t="s">
        <v>749</v>
      </c>
    </row>
    <row r="223" spans="1:6" ht="49.5" x14ac:dyDescent="0.25">
      <c r="A223" s="6" t="s">
        <v>1281</v>
      </c>
      <c r="B223" s="7" t="s">
        <v>1282</v>
      </c>
      <c r="C223" s="7"/>
      <c r="D223" s="7" t="s">
        <v>1283</v>
      </c>
      <c r="E223" s="7" t="s">
        <v>1284</v>
      </c>
      <c r="F223" s="7" t="s">
        <v>13</v>
      </c>
    </row>
    <row r="224" spans="1:6" ht="33" x14ac:dyDescent="0.25">
      <c r="A224" s="6" t="s">
        <v>2395</v>
      </c>
      <c r="B224" s="7" t="s">
        <v>2396</v>
      </c>
      <c r="C224" s="7" t="s">
        <v>1059</v>
      </c>
      <c r="D224" s="7" t="s">
        <v>2397</v>
      </c>
      <c r="E224" s="7" t="s">
        <v>2398</v>
      </c>
      <c r="F224" s="7" t="s">
        <v>145</v>
      </c>
    </row>
    <row r="225" spans="1:6" ht="33" x14ac:dyDescent="0.25">
      <c r="A225" s="6" t="s">
        <v>2410</v>
      </c>
      <c r="B225" s="7" t="s">
        <v>2411</v>
      </c>
      <c r="C225" s="7"/>
      <c r="D225" s="7" t="s">
        <v>2412</v>
      </c>
      <c r="E225" s="7" t="s">
        <v>2413</v>
      </c>
      <c r="F225" s="7" t="s">
        <v>145</v>
      </c>
    </row>
    <row r="226" spans="1:6" ht="33" x14ac:dyDescent="0.25">
      <c r="A226" s="6" t="s">
        <v>1929</v>
      </c>
      <c r="B226" s="7" t="s">
        <v>1930</v>
      </c>
      <c r="C226" s="7"/>
      <c r="D226" s="7" t="s">
        <v>1931</v>
      </c>
      <c r="E226" s="7" t="s">
        <v>1932</v>
      </c>
      <c r="F226" s="7" t="s">
        <v>145</v>
      </c>
    </row>
    <row r="227" spans="1:6" ht="33" x14ac:dyDescent="0.25">
      <c r="A227" s="6" t="s">
        <v>2545</v>
      </c>
      <c r="B227" s="7" t="s">
        <v>2546</v>
      </c>
      <c r="C227" s="7"/>
      <c r="D227" s="7" t="s">
        <v>2547</v>
      </c>
      <c r="E227" s="7" t="s">
        <v>2548</v>
      </c>
      <c r="F227" s="7" t="s">
        <v>145</v>
      </c>
    </row>
    <row r="228" spans="1:6" ht="33" x14ac:dyDescent="0.25">
      <c r="A228" s="6" t="s">
        <v>2042</v>
      </c>
      <c r="B228" s="7" t="s">
        <v>2043</v>
      </c>
      <c r="C228" s="7"/>
      <c r="D228" s="7" t="s">
        <v>2044</v>
      </c>
      <c r="E228" s="7" t="s">
        <v>2045</v>
      </c>
      <c r="F228" s="7" t="s">
        <v>145</v>
      </c>
    </row>
    <row r="229" spans="1:6" ht="33" x14ac:dyDescent="0.25">
      <c r="A229" s="8" t="s">
        <v>2504</v>
      </c>
      <c r="B229" s="9" t="s">
        <v>2043</v>
      </c>
      <c r="C229" s="9"/>
      <c r="D229" s="9" t="s">
        <v>2505</v>
      </c>
      <c r="E229" s="9" t="s">
        <v>2506</v>
      </c>
      <c r="F229" s="9" t="s">
        <v>145</v>
      </c>
    </row>
    <row r="230" spans="1:6" ht="33" x14ac:dyDescent="0.25">
      <c r="A230" s="6" t="s">
        <v>1393</v>
      </c>
      <c r="B230" s="7" t="s">
        <v>1394</v>
      </c>
      <c r="C230" s="7" t="s">
        <v>1395</v>
      </c>
      <c r="D230" s="7" t="s">
        <v>1396</v>
      </c>
      <c r="E230" s="7" t="s">
        <v>1397</v>
      </c>
      <c r="F230" s="7" t="s">
        <v>13</v>
      </c>
    </row>
    <row r="231" spans="1:6" ht="33" x14ac:dyDescent="0.25">
      <c r="A231" s="6" t="s">
        <v>1398</v>
      </c>
      <c r="B231" s="7" t="s">
        <v>1394</v>
      </c>
      <c r="C231" s="7" t="s">
        <v>1109</v>
      </c>
      <c r="D231" s="7" t="s">
        <v>1399</v>
      </c>
      <c r="E231" s="7" t="s">
        <v>1400</v>
      </c>
      <c r="F231" s="7" t="s">
        <v>13</v>
      </c>
    </row>
    <row r="232" spans="1:6" ht="33" x14ac:dyDescent="0.25">
      <c r="A232" s="6" t="s">
        <v>751</v>
      </c>
      <c r="B232" s="7" t="s">
        <v>750</v>
      </c>
      <c r="C232" s="7"/>
      <c r="D232" s="7" t="s">
        <v>752</v>
      </c>
      <c r="E232" s="7" t="s">
        <v>753</v>
      </c>
      <c r="F232" s="7" t="s">
        <v>13</v>
      </c>
    </row>
    <row r="233" spans="1:6" ht="49.5" x14ac:dyDescent="0.25">
      <c r="A233" s="6" t="s">
        <v>1726</v>
      </c>
      <c r="B233" s="7" t="s">
        <v>1727</v>
      </c>
      <c r="C233" s="7"/>
      <c r="D233" s="7" t="s">
        <v>1558</v>
      </c>
      <c r="E233" s="7" t="s">
        <v>1728</v>
      </c>
      <c r="F233" s="7" t="s">
        <v>145</v>
      </c>
    </row>
    <row r="234" spans="1:6" ht="33" x14ac:dyDescent="0.25">
      <c r="A234" s="10" t="s">
        <v>1151</v>
      </c>
      <c r="B234" s="11" t="s">
        <v>1152</v>
      </c>
      <c r="C234" s="11"/>
      <c r="D234" s="11" t="s">
        <v>1153</v>
      </c>
      <c r="E234" s="11" t="s">
        <v>1154</v>
      </c>
      <c r="F234" s="11" t="s">
        <v>13</v>
      </c>
    </row>
    <row r="235" spans="1:6" ht="33" x14ac:dyDescent="0.25">
      <c r="A235" s="6" t="s">
        <v>1950</v>
      </c>
      <c r="B235" s="7" t="s">
        <v>1951</v>
      </c>
      <c r="C235" s="7"/>
      <c r="D235" s="7" t="s">
        <v>1952</v>
      </c>
      <c r="E235" s="7" t="s">
        <v>1953</v>
      </c>
      <c r="F235" s="7" t="s">
        <v>26</v>
      </c>
    </row>
    <row r="236" spans="1:6" ht="33" x14ac:dyDescent="0.25">
      <c r="A236" s="6" t="s">
        <v>123</v>
      </c>
      <c r="B236" s="7" t="s">
        <v>124</v>
      </c>
      <c r="C236" s="7"/>
      <c r="D236" s="7" t="s">
        <v>122</v>
      </c>
      <c r="E236" s="7" t="s">
        <v>121</v>
      </c>
      <c r="F236" s="7" t="s">
        <v>117</v>
      </c>
    </row>
    <row r="237" spans="1:6" ht="33" x14ac:dyDescent="0.25">
      <c r="A237" s="6" t="s">
        <v>545</v>
      </c>
      <c r="B237" s="7" t="s">
        <v>544</v>
      </c>
      <c r="C237" s="7" t="s">
        <v>546</v>
      </c>
      <c r="D237" s="7" t="s">
        <v>547</v>
      </c>
      <c r="E237" s="7" t="s">
        <v>548</v>
      </c>
      <c r="F237" s="7" t="s">
        <v>57</v>
      </c>
    </row>
    <row r="238" spans="1:6" ht="33" x14ac:dyDescent="0.25">
      <c r="A238" s="6" t="s">
        <v>755</v>
      </c>
      <c r="B238" s="7" t="s">
        <v>754</v>
      </c>
      <c r="C238" s="7"/>
      <c r="D238" s="7" t="s">
        <v>756</v>
      </c>
      <c r="E238" s="7" t="s">
        <v>757</v>
      </c>
      <c r="F238" s="7" t="s">
        <v>13</v>
      </c>
    </row>
    <row r="239" spans="1:6" ht="33" x14ac:dyDescent="0.25">
      <c r="A239" s="6" t="s">
        <v>1640</v>
      </c>
      <c r="B239" s="7" t="s">
        <v>1641</v>
      </c>
      <c r="C239" s="7"/>
      <c r="D239" s="7" t="s">
        <v>1642</v>
      </c>
      <c r="E239" s="7" t="s">
        <v>1643</v>
      </c>
      <c r="F239" s="7" t="s">
        <v>145</v>
      </c>
    </row>
    <row r="240" spans="1:6" ht="33" x14ac:dyDescent="0.25">
      <c r="A240" s="6" t="s">
        <v>1689</v>
      </c>
      <c r="B240" s="7" t="s">
        <v>1641</v>
      </c>
      <c r="C240" s="7"/>
      <c r="D240" s="7" t="s">
        <v>1690</v>
      </c>
      <c r="E240" s="7" t="s">
        <v>1691</v>
      </c>
      <c r="F240" s="7" t="s">
        <v>145</v>
      </c>
    </row>
    <row r="241" spans="1:6" ht="33" x14ac:dyDescent="0.25">
      <c r="A241" s="6" t="s">
        <v>1120</v>
      </c>
      <c r="B241" s="7" t="s">
        <v>1121</v>
      </c>
      <c r="C241" s="7"/>
      <c r="D241" s="7" t="s">
        <v>1122</v>
      </c>
      <c r="E241" s="7" t="s">
        <v>1123</v>
      </c>
      <c r="F241" s="7" t="s">
        <v>13</v>
      </c>
    </row>
    <row r="242" spans="1:6" ht="33" x14ac:dyDescent="0.25">
      <c r="A242" s="6" t="s">
        <v>1590</v>
      </c>
      <c r="B242" s="7" t="s">
        <v>1591</v>
      </c>
      <c r="C242" s="7"/>
      <c r="D242" s="7" t="s">
        <v>1592</v>
      </c>
      <c r="E242" s="7" t="s">
        <v>1593</v>
      </c>
      <c r="F242" s="7" t="s">
        <v>145</v>
      </c>
    </row>
    <row r="243" spans="1:6" ht="49.5" x14ac:dyDescent="0.25">
      <c r="A243" s="6" t="s">
        <v>1006</v>
      </c>
      <c r="B243" s="7" t="s">
        <v>1007</v>
      </c>
      <c r="C243" s="7"/>
      <c r="D243" s="7" t="s">
        <v>1008</v>
      </c>
      <c r="E243" s="7" t="s">
        <v>1009</v>
      </c>
      <c r="F243" s="7" t="s">
        <v>13</v>
      </c>
    </row>
    <row r="244" spans="1:6" ht="33" x14ac:dyDescent="0.25">
      <c r="A244" s="6" t="s">
        <v>759</v>
      </c>
      <c r="B244" s="7" t="s">
        <v>758</v>
      </c>
      <c r="C244" s="7"/>
      <c r="D244" s="7" t="s">
        <v>760</v>
      </c>
      <c r="E244" s="7" t="s">
        <v>761</v>
      </c>
      <c r="F244" s="7" t="s">
        <v>13</v>
      </c>
    </row>
    <row r="245" spans="1:6" ht="33" x14ac:dyDescent="0.25">
      <c r="A245" s="6" t="s">
        <v>1099</v>
      </c>
      <c r="B245" s="7" t="s">
        <v>1100</v>
      </c>
      <c r="C245" s="7"/>
      <c r="D245" s="7" t="s">
        <v>1101</v>
      </c>
      <c r="E245" s="7" t="s">
        <v>1102</v>
      </c>
      <c r="F245" s="7" t="s">
        <v>13</v>
      </c>
    </row>
    <row r="246" spans="1:6" ht="33" x14ac:dyDescent="0.25">
      <c r="A246" s="6" t="s">
        <v>2103</v>
      </c>
      <c r="B246" s="7" t="s">
        <v>2104</v>
      </c>
      <c r="C246" s="7"/>
      <c r="D246" s="7" t="s">
        <v>2105</v>
      </c>
      <c r="E246" s="7" t="s">
        <v>2106</v>
      </c>
      <c r="F246" s="7" t="s">
        <v>13</v>
      </c>
    </row>
    <row r="247" spans="1:6" ht="33" x14ac:dyDescent="0.25">
      <c r="A247" s="6" t="s">
        <v>2210</v>
      </c>
      <c r="B247" s="7" t="s">
        <v>2211</v>
      </c>
      <c r="C247" s="7"/>
      <c r="D247" s="7" t="s">
        <v>2212</v>
      </c>
      <c r="E247" s="7" t="s">
        <v>2213</v>
      </c>
      <c r="F247" s="7" t="s">
        <v>145</v>
      </c>
    </row>
    <row r="248" spans="1:6" ht="33" x14ac:dyDescent="0.25">
      <c r="A248" s="6" t="s">
        <v>1655</v>
      </c>
      <c r="B248" s="7" t="s">
        <v>1656</v>
      </c>
      <c r="C248" s="7"/>
      <c r="D248" s="7" t="s">
        <v>1657</v>
      </c>
      <c r="E248" s="7" t="s">
        <v>1658</v>
      </c>
      <c r="F248" s="7" t="s">
        <v>145</v>
      </c>
    </row>
    <row r="249" spans="1:6" ht="33" x14ac:dyDescent="0.25">
      <c r="A249" s="6" t="s">
        <v>2330</v>
      </c>
      <c r="B249" s="7" t="s">
        <v>2331</v>
      </c>
      <c r="C249" s="7"/>
      <c r="D249" s="7" t="s">
        <v>2332</v>
      </c>
      <c r="E249" s="7" t="s">
        <v>2333</v>
      </c>
      <c r="F249" s="7" t="s">
        <v>145</v>
      </c>
    </row>
    <row r="250" spans="1:6" ht="33" x14ac:dyDescent="0.25">
      <c r="A250" s="6" t="s">
        <v>763</v>
      </c>
      <c r="B250" s="7" t="s">
        <v>762</v>
      </c>
      <c r="C250" s="7"/>
      <c r="D250" s="7" t="s">
        <v>764</v>
      </c>
      <c r="E250" s="7" t="s">
        <v>765</v>
      </c>
      <c r="F250" s="7" t="s">
        <v>13</v>
      </c>
    </row>
    <row r="251" spans="1:6" ht="33" x14ac:dyDescent="0.25">
      <c r="A251" s="6" t="s">
        <v>1208</v>
      </c>
      <c r="B251" s="7" t="s">
        <v>1209</v>
      </c>
      <c r="C251" s="7"/>
      <c r="D251" s="7" t="s">
        <v>1210</v>
      </c>
      <c r="E251" s="7" t="s">
        <v>1211</v>
      </c>
      <c r="F251" s="7" t="s">
        <v>13</v>
      </c>
    </row>
    <row r="252" spans="1:6" ht="33" x14ac:dyDescent="0.25">
      <c r="A252" s="6" t="s">
        <v>1850</v>
      </c>
      <c r="B252" s="7" t="s">
        <v>1851</v>
      </c>
      <c r="C252" s="7" t="s">
        <v>1852</v>
      </c>
      <c r="D252" s="7" t="s">
        <v>1802</v>
      </c>
      <c r="E252" s="7" t="s">
        <v>1853</v>
      </c>
      <c r="F252" s="7" t="s">
        <v>145</v>
      </c>
    </row>
    <row r="253" spans="1:6" ht="33" x14ac:dyDescent="0.25">
      <c r="A253" s="6" t="s">
        <v>767</v>
      </c>
      <c r="B253" s="7" t="s">
        <v>766</v>
      </c>
      <c r="C253" s="7"/>
      <c r="D253" s="7" t="s">
        <v>768</v>
      </c>
      <c r="E253" s="7" t="s">
        <v>769</v>
      </c>
      <c r="F253" s="7" t="s">
        <v>13</v>
      </c>
    </row>
    <row r="254" spans="1:6" ht="33" x14ac:dyDescent="0.25">
      <c r="A254" s="6" t="s">
        <v>771</v>
      </c>
      <c r="B254" s="7" t="s">
        <v>770</v>
      </c>
      <c r="C254" s="7"/>
      <c r="D254" s="7" t="s">
        <v>772</v>
      </c>
      <c r="E254" s="7" t="s">
        <v>773</v>
      </c>
      <c r="F254" s="7" t="s">
        <v>13</v>
      </c>
    </row>
    <row r="255" spans="1:6" ht="33" x14ac:dyDescent="0.25">
      <c r="A255" s="6" t="s">
        <v>2014</v>
      </c>
      <c r="B255" s="7" t="s">
        <v>2015</v>
      </c>
      <c r="C255" s="7"/>
      <c r="D255" s="7" t="s">
        <v>2016</v>
      </c>
      <c r="E255" s="7" t="s">
        <v>2017</v>
      </c>
      <c r="F255" s="7" t="s">
        <v>145</v>
      </c>
    </row>
    <row r="256" spans="1:6" ht="33" x14ac:dyDescent="0.25">
      <c r="A256" s="6" t="s">
        <v>1972</v>
      </c>
      <c r="B256" s="7" t="s">
        <v>1973</v>
      </c>
      <c r="C256" s="7"/>
      <c r="D256" s="7" t="s">
        <v>1974</v>
      </c>
      <c r="E256" s="7" t="s">
        <v>1975</v>
      </c>
      <c r="F256" s="7" t="s">
        <v>145</v>
      </c>
    </row>
    <row r="257" spans="1:6" ht="33" x14ac:dyDescent="0.25">
      <c r="A257" s="6" t="s">
        <v>1782</v>
      </c>
      <c r="B257" s="7" t="s">
        <v>1783</v>
      </c>
      <c r="C257" s="7" t="s">
        <v>1637</v>
      </c>
      <c r="D257" s="7" t="s">
        <v>1784</v>
      </c>
      <c r="E257" s="7" t="s">
        <v>1785</v>
      </c>
      <c r="F257" s="7" t="s">
        <v>145</v>
      </c>
    </row>
    <row r="258" spans="1:6" ht="33" x14ac:dyDescent="0.25">
      <c r="A258" s="6" t="s">
        <v>1704</v>
      </c>
      <c r="B258" s="7" t="s">
        <v>1705</v>
      </c>
      <c r="C258" s="7"/>
      <c r="D258" s="7" t="s">
        <v>1621</v>
      </c>
      <c r="E258" s="7" t="s">
        <v>1706</v>
      </c>
      <c r="F258" s="7" t="s">
        <v>145</v>
      </c>
    </row>
    <row r="259" spans="1:6" ht="33" x14ac:dyDescent="0.25">
      <c r="A259" s="6" t="s">
        <v>1212</v>
      </c>
      <c r="B259" s="7" t="s">
        <v>1213</v>
      </c>
      <c r="C259" s="7"/>
      <c r="D259" s="7" t="s">
        <v>1214</v>
      </c>
      <c r="E259" s="7" t="s">
        <v>1215</v>
      </c>
      <c r="F259" s="7" t="s">
        <v>13</v>
      </c>
    </row>
    <row r="260" spans="1:6" ht="33" x14ac:dyDescent="0.25">
      <c r="A260" s="6" t="s">
        <v>1197</v>
      </c>
      <c r="B260" s="7" t="s">
        <v>1198</v>
      </c>
      <c r="C260" s="7"/>
      <c r="D260" s="7" t="s">
        <v>1169</v>
      </c>
      <c r="E260" s="7" t="s">
        <v>1199</v>
      </c>
      <c r="F260" s="7" t="s">
        <v>13</v>
      </c>
    </row>
    <row r="261" spans="1:6" ht="33" x14ac:dyDescent="0.25">
      <c r="A261" s="6" t="s">
        <v>1113</v>
      </c>
      <c r="B261" s="7" t="s">
        <v>1114</v>
      </c>
      <c r="C261" s="7"/>
      <c r="D261" s="7" t="s">
        <v>1115</v>
      </c>
      <c r="E261" s="7" t="s">
        <v>1116</v>
      </c>
      <c r="F261" s="7" t="s">
        <v>13</v>
      </c>
    </row>
    <row r="262" spans="1:6" ht="33" x14ac:dyDescent="0.25">
      <c r="A262" s="6" t="s">
        <v>2190</v>
      </c>
      <c r="B262" s="7" t="s">
        <v>2191</v>
      </c>
      <c r="C262" s="7"/>
      <c r="D262" s="7" t="s">
        <v>1084</v>
      </c>
      <c r="E262" s="7" t="s">
        <v>2192</v>
      </c>
      <c r="F262" s="7" t="s">
        <v>145</v>
      </c>
    </row>
    <row r="263" spans="1:6" ht="33" x14ac:dyDescent="0.25">
      <c r="A263" s="6" t="s">
        <v>1754</v>
      </c>
      <c r="B263" s="7" t="s">
        <v>1755</v>
      </c>
      <c r="C263" s="7"/>
      <c r="D263" s="7" t="s">
        <v>1756</v>
      </c>
      <c r="E263" s="7" t="s">
        <v>1757</v>
      </c>
      <c r="F263" s="7" t="s">
        <v>74</v>
      </c>
    </row>
    <row r="264" spans="1:6" ht="33" x14ac:dyDescent="0.25">
      <c r="A264" s="6" t="s">
        <v>2399</v>
      </c>
      <c r="B264" s="7" t="s">
        <v>2400</v>
      </c>
      <c r="C264" s="7"/>
      <c r="D264" s="7" t="s">
        <v>2401</v>
      </c>
      <c r="E264" s="7" t="s">
        <v>2402</v>
      </c>
      <c r="F264" s="7" t="s">
        <v>145</v>
      </c>
    </row>
    <row r="265" spans="1:6" ht="33" x14ac:dyDescent="0.25">
      <c r="A265" s="6" t="s">
        <v>2184</v>
      </c>
      <c r="B265" s="7" t="s">
        <v>2185</v>
      </c>
      <c r="C265" s="7"/>
      <c r="D265" s="7" t="s">
        <v>1680</v>
      </c>
      <c r="E265" s="7" t="s">
        <v>2186</v>
      </c>
      <c r="F265" s="7" t="s">
        <v>145</v>
      </c>
    </row>
    <row r="266" spans="1:6" ht="33" x14ac:dyDescent="0.25">
      <c r="A266" s="6" t="s">
        <v>312</v>
      </c>
      <c r="B266" s="7" t="s">
        <v>311</v>
      </c>
      <c r="C266" s="7"/>
      <c r="D266" s="7" t="s">
        <v>313</v>
      </c>
      <c r="E266" s="7" t="s">
        <v>314</v>
      </c>
      <c r="F266" s="7" t="s">
        <v>13</v>
      </c>
    </row>
    <row r="267" spans="1:6" ht="33" x14ac:dyDescent="0.25">
      <c r="A267" s="6" t="s">
        <v>2031</v>
      </c>
      <c r="B267" s="7" t="s">
        <v>2032</v>
      </c>
      <c r="C267" s="7"/>
      <c r="D267" s="7" t="s">
        <v>2033</v>
      </c>
      <c r="E267" s="7" t="s">
        <v>2034</v>
      </c>
      <c r="F267" s="7" t="s">
        <v>46</v>
      </c>
    </row>
    <row r="268" spans="1:6" ht="33" x14ac:dyDescent="0.25">
      <c r="A268" s="6" t="s">
        <v>1917</v>
      </c>
      <c r="B268" s="7" t="s">
        <v>1918</v>
      </c>
      <c r="C268" s="7"/>
      <c r="D268" s="7" t="s">
        <v>1919</v>
      </c>
      <c r="E268" s="7" t="s">
        <v>1920</v>
      </c>
      <c r="F268" s="7" t="s">
        <v>46</v>
      </c>
    </row>
    <row r="269" spans="1:6" ht="33" x14ac:dyDescent="0.25">
      <c r="A269" s="6" t="s">
        <v>979</v>
      </c>
      <c r="B269" s="7" t="s">
        <v>980</v>
      </c>
      <c r="C269" s="7"/>
      <c r="D269" s="7" t="s">
        <v>981</v>
      </c>
      <c r="E269" s="7" t="s">
        <v>982</v>
      </c>
      <c r="F269" s="7" t="s">
        <v>13</v>
      </c>
    </row>
    <row r="270" spans="1:6" ht="33" x14ac:dyDescent="0.25">
      <c r="A270" s="6" t="s">
        <v>1738</v>
      </c>
      <c r="B270" s="7" t="s">
        <v>1739</v>
      </c>
      <c r="C270" s="7" t="s">
        <v>1109</v>
      </c>
      <c r="D270" s="7" t="s">
        <v>1740</v>
      </c>
      <c r="E270" s="7" t="s">
        <v>1741</v>
      </c>
      <c r="F270" s="7" t="s">
        <v>145</v>
      </c>
    </row>
    <row r="271" spans="1:6" ht="33" x14ac:dyDescent="0.25">
      <c r="A271" s="6" t="s">
        <v>1048</v>
      </c>
      <c r="B271" s="7" t="s">
        <v>1049</v>
      </c>
      <c r="C271" s="7"/>
      <c r="D271" s="7" t="s">
        <v>1050</v>
      </c>
      <c r="E271" s="7" t="s">
        <v>1051</v>
      </c>
      <c r="F271" s="7" t="s">
        <v>74</v>
      </c>
    </row>
    <row r="272" spans="1:6" ht="33" x14ac:dyDescent="0.25">
      <c r="A272" s="6" t="s">
        <v>1968</v>
      </c>
      <c r="B272" s="7" t="s">
        <v>1969</v>
      </c>
      <c r="C272" s="7"/>
      <c r="D272" s="7" t="s">
        <v>1970</v>
      </c>
      <c r="E272" s="7" t="s">
        <v>1971</v>
      </c>
      <c r="F272" s="7" t="s">
        <v>46</v>
      </c>
    </row>
    <row r="273" spans="1:6" ht="33" x14ac:dyDescent="0.25">
      <c r="A273" s="6" t="s">
        <v>1847</v>
      </c>
      <c r="B273" s="7" t="s">
        <v>1848</v>
      </c>
      <c r="C273" s="7"/>
      <c r="D273" s="7" t="s">
        <v>1780</v>
      </c>
      <c r="E273" s="7" t="s">
        <v>1849</v>
      </c>
      <c r="F273" s="7" t="s">
        <v>46</v>
      </c>
    </row>
    <row r="274" spans="1:6" ht="33" x14ac:dyDescent="0.25">
      <c r="A274" s="6" t="s">
        <v>316</v>
      </c>
      <c r="B274" s="7" t="s">
        <v>315</v>
      </c>
      <c r="C274" s="7"/>
      <c r="D274" s="7" t="s">
        <v>317</v>
      </c>
      <c r="E274" s="7" t="s">
        <v>318</v>
      </c>
      <c r="F274" s="7" t="s">
        <v>13</v>
      </c>
    </row>
    <row r="275" spans="1:6" ht="33" x14ac:dyDescent="0.25">
      <c r="A275" s="6" t="s">
        <v>320</v>
      </c>
      <c r="B275" s="7" t="s">
        <v>319</v>
      </c>
      <c r="C275" s="7"/>
      <c r="D275" s="7" t="s">
        <v>321</v>
      </c>
      <c r="E275" s="7" t="s">
        <v>322</v>
      </c>
      <c r="F275" s="7" t="s">
        <v>13</v>
      </c>
    </row>
    <row r="276" spans="1:6" ht="33" x14ac:dyDescent="0.25">
      <c r="A276" s="6" t="s">
        <v>2420</v>
      </c>
      <c r="B276" s="7" t="s">
        <v>2421</v>
      </c>
      <c r="C276" s="7"/>
      <c r="D276" s="7" t="s">
        <v>2422</v>
      </c>
      <c r="E276" s="7" t="s">
        <v>2423</v>
      </c>
      <c r="F276" s="7" t="s">
        <v>145</v>
      </c>
    </row>
    <row r="277" spans="1:6" ht="33" x14ac:dyDescent="0.25">
      <c r="A277" s="6" t="s">
        <v>324</v>
      </c>
      <c r="B277" s="7" t="s">
        <v>323</v>
      </c>
      <c r="C277" s="7"/>
      <c r="D277" s="7" t="s">
        <v>325</v>
      </c>
      <c r="E277" s="7" t="s">
        <v>326</v>
      </c>
      <c r="F277" s="7" t="s">
        <v>145</v>
      </c>
    </row>
    <row r="278" spans="1:6" ht="33" x14ac:dyDescent="0.25">
      <c r="A278" s="6" t="s">
        <v>1897</v>
      </c>
      <c r="B278" s="7" t="s">
        <v>1898</v>
      </c>
      <c r="C278" s="7"/>
      <c r="D278" s="7" t="s">
        <v>1899</v>
      </c>
      <c r="E278" s="7" t="s">
        <v>1900</v>
      </c>
      <c r="F278" s="7" t="s">
        <v>145</v>
      </c>
    </row>
    <row r="279" spans="1:6" ht="33" x14ac:dyDescent="0.25">
      <c r="A279" s="6" t="s">
        <v>1673</v>
      </c>
      <c r="B279" s="7" t="s">
        <v>1674</v>
      </c>
      <c r="C279" s="7" t="s">
        <v>1675</v>
      </c>
      <c r="D279" s="7" t="s">
        <v>1676</v>
      </c>
      <c r="E279" s="7" t="s">
        <v>1677</v>
      </c>
      <c r="F279" s="7" t="s">
        <v>74</v>
      </c>
    </row>
    <row r="280" spans="1:6" ht="33" x14ac:dyDescent="0.25">
      <c r="A280" s="6" t="s">
        <v>2227</v>
      </c>
      <c r="B280" s="7" t="s">
        <v>2228</v>
      </c>
      <c r="C280" s="7" t="s">
        <v>1395</v>
      </c>
      <c r="D280" s="7" t="s">
        <v>2229</v>
      </c>
      <c r="E280" s="7" t="s">
        <v>2230</v>
      </c>
      <c r="F280" s="7" t="s">
        <v>145</v>
      </c>
    </row>
    <row r="281" spans="1:6" ht="33" x14ac:dyDescent="0.25">
      <c r="A281" s="6" t="s">
        <v>775</v>
      </c>
      <c r="B281" s="7" t="s">
        <v>774</v>
      </c>
      <c r="C281" s="7"/>
      <c r="D281" s="7" t="s">
        <v>776</v>
      </c>
      <c r="E281" s="7" t="s">
        <v>777</v>
      </c>
      <c r="F281" s="7" t="s">
        <v>13</v>
      </c>
    </row>
    <row r="282" spans="1:6" ht="33" x14ac:dyDescent="0.25">
      <c r="A282" s="6" t="s">
        <v>1773</v>
      </c>
      <c r="B282" s="7" t="s">
        <v>1774</v>
      </c>
      <c r="C282" s="7" t="s">
        <v>1041</v>
      </c>
      <c r="D282" s="7" t="s">
        <v>1775</v>
      </c>
      <c r="E282" s="7" t="s">
        <v>1776</v>
      </c>
      <c r="F282" s="7" t="s">
        <v>1777</v>
      </c>
    </row>
    <row r="283" spans="1:6" ht="33" x14ac:dyDescent="0.25">
      <c r="A283" s="6" t="s">
        <v>1946</v>
      </c>
      <c r="B283" s="7" t="s">
        <v>1947</v>
      </c>
      <c r="C283" s="7"/>
      <c r="D283" s="7" t="s">
        <v>1948</v>
      </c>
      <c r="E283" s="7" t="s">
        <v>1949</v>
      </c>
      <c r="F283" s="7" t="s">
        <v>145</v>
      </c>
    </row>
    <row r="284" spans="1:6" ht="33" x14ac:dyDescent="0.25">
      <c r="A284" s="6" t="s">
        <v>1335</v>
      </c>
      <c r="B284" s="7" t="s">
        <v>1336</v>
      </c>
      <c r="C284" s="7"/>
      <c r="D284" s="7" t="s">
        <v>1337</v>
      </c>
      <c r="E284" s="7" t="s">
        <v>1338</v>
      </c>
      <c r="F284" s="7" t="s">
        <v>13</v>
      </c>
    </row>
    <row r="285" spans="1:6" ht="33" x14ac:dyDescent="0.25">
      <c r="A285" s="6" t="s">
        <v>1335</v>
      </c>
      <c r="B285" s="7" t="s">
        <v>1336</v>
      </c>
      <c r="C285" s="7"/>
      <c r="D285" s="7" t="s">
        <v>1337</v>
      </c>
      <c r="E285" s="7" t="s">
        <v>2013</v>
      </c>
      <c r="F285" s="7" t="s">
        <v>13</v>
      </c>
    </row>
    <row r="286" spans="1:6" ht="33" x14ac:dyDescent="0.25">
      <c r="A286" s="6" t="s">
        <v>779</v>
      </c>
      <c r="B286" s="7" t="s">
        <v>778</v>
      </c>
      <c r="C286" s="7"/>
      <c r="D286" s="7" t="s">
        <v>780</v>
      </c>
      <c r="E286" s="7" t="s">
        <v>781</v>
      </c>
      <c r="F286" s="7" t="s">
        <v>782</v>
      </c>
    </row>
    <row r="287" spans="1:6" ht="33" x14ac:dyDescent="0.25">
      <c r="A287" s="6" t="s">
        <v>165</v>
      </c>
      <c r="B287" s="7" t="s">
        <v>247</v>
      </c>
      <c r="C287" s="7" t="s">
        <v>155</v>
      </c>
      <c r="D287" s="7" t="s">
        <v>164</v>
      </c>
      <c r="E287" s="7" t="s">
        <v>163</v>
      </c>
      <c r="F287" s="7" t="s">
        <v>145</v>
      </c>
    </row>
    <row r="288" spans="1:6" ht="33" x14ac:dyDescent="0.25">
      <c r="A288" s="6" t="s">
        <v>1032</v>
      </c>
      <c r="B288" s="7" t="s">
        <v>1033</v>
      </c>
      <c r="C288" s="7"/>
      <c r="D288" s="7" t="s">
        <v>1034</v>
      </c>
      <c r="E288" s="7" t="s">
        <v>1035</v>
      </c>
      <c r="F288" s="7" t="s">
        <v>13</v>
      </c>
    </row>
    <row r="289" spans="1:6" ht="33" x14ac:dyDescent="0.25">
      <c r="A289" s="6" t="s">
        <v>955</v>
      </c>
      <c r="B289" s="7" t="s">
        <v>956</v>
      </c>
      <c r="C289" s="7"/>
      <c r="D289" s="7" t="s">
        <v>957</v>
      </c>
      <c r="E289" s="7" t="s">
        <v>958</v>
      </c>
      <c r="F289" s="7" t="s">
        <v>13</v>
      </c>
    </row>
    <row r="290" spans="1:6" ht="33" x14ac:dyDescent="0.25">
      <c r="A290" s="6" t="s">
        <v>1305</v>
      </c>
      <c r="B290" s="7" t="s">
        <v>1306</v>
      </c>
      <c r="C290" s="7"/>
      <c r="D290" s="7" t="s">
        <v>1307</v>
      </c>
      <c r="E290" s="7" t="s">
        <v>1308</v>
      </c>
      <c r="F290" s="7" t="s">
        <v>13</v>
      </c>
    </row>
    <row r="291" spans="1:6" ht="33" x14ac:dyDescent="0.25">
      <c r="A291" s="6" t="s">
        <v>2089</v>
      </c>
      <c r="B291" s="7" t="s">
        <v>2090</v>
      </c>
      <c r="C291" s="7"/>
      <c r="D291" s="7" t="s">
        <v>2091</v>
      </c>
      <c r="E291" s="7" t="s">
        <v>2092</v>
      </c>
      <c r="F291" s="7" t="s">
        <v>74</v>
      </c>
    </row>
    <row r="292" spans="1:6" ht="33" x14ac:dyDescent="0.25">
      <c r="A292" s="6" t="s">
        <v>1800</v>
      </c>
      <c r="B292" s="7" t="s">
        <v>1801</v>
      </c>
      <c r="C292" s="7"/>
      <c r="D292" s="7" t="s">
        <v>1802</v>
      </c>
      <c r="E292" s="7" t="s">
        <v>1803</v>
      </c>
      <c r="F292" s="7" t="s">
        <v>145</v>
      </c>
    </row>
    <row r="293" spans="1:6" ht="33" x14ac:dyDescent="0.25">
      <c r="A293" s="6" t="s">
        <v>784</v>
      </c>
      <c r="B293" s="7" t="s">
        <v>783</v>
      </c>
      <c r="C293" s="7"/>
      <c r="D293" s="7" t="s">
        <v>785</v>
      </c>
      <c r="E293" s="7" t="s">
        <v>786</v>
      </c>
      <c r="F293" s="7" t="s">
        <v>13</v>
      </c>
    </row>
    <row r="294" spans="1:6" ht="49.5" x14ac:dyDescent="0.25">
      <c r="A294" s="6" t="s">
        <v>1229</v>
      </c>
      <c r="B294" s="7" t="s">
        <v>1230</v>
      </c>
      <c r="C294" s="7"/>
      <c r="D294" s="7" t="s">
        <v>1231</v>
      </c>
      <c r="E294" s="7" t="s">
        <v>1232</v>
      </c>
      <c r="F294" s="7" t="s">
        <v>13</v>
      </c>
    </row>
    <row r="295" spans="1:6" ht="33" x14ac:dyDescent="0.25">
      <c r="A295" s="6" t="s">
        <v>1707</v>
      </c>
      <c r="B295" s="7" t="s">
        <v>1708</v>
      </c>
      <c r="C295" s="7" t="s">
        <v>1709</v>
      </c>
      <c r="D295" s="7" t="s">
        <v>1710</v>
      </c>
      <c r="E295" s="7" t="s">
        <v>1711</v>
      </c>
      <c r="F295" s="7" t="s">
        <v>74</v>
      </c>
    </row>
    <row r="296" spans="1:6" x14ac:dyDescent="0.25">
      <c r="A296" s="6" t="s">
        <v>1750</v>
      </c>
      <c r="B296" s="7" t="s">
        <v>1751</v>
      </c>
      <c r="C296" s="7"/>
      <c r="D296" s="7" t="s">
        <v>1752</v>
      </c>
      <c r="E296" s="7" t="s">
        <v>1753</v>
      </c>
      <c r="F296" s="7" t="s">
        <v>74</v>
      </c>
    </row>
    <row r="297" spans="1:6" ht="33" x14ac:dyDescent="0.25">
      <c r="A297" s="6" t="s">
        <v>1844</v>
      </c>
      <c r="B297" s="7" t="s">
        <v>1845</v>
      </c>
      <c r="C297" s="7"/>
      <c r="D297" s="7" t="s">
        <v>1050</v>
      </c>
      <c r="E297" s="7" t="s">
        <v>1846</v>
      </c>
      <c r="F297" s="7" t="s">
        <v>145</v>
      </c>
    </row>
    <row r="298" spans="1:6" ht="33" x14ac:dyDescent="0.25">
      <c r="A298" s="6" t="s">
        <v>2580</v>
      </c>
      <c r="B298" s="7" t="s">
        <v>2581</v>
      </c>
      <c r="C298" s="7"/>
      <c r="D298" s="7" t="s">
        <v>2582</v>
      </c>
      <c r="E298" s="7" t="s">
        <v>2583</v>
      </c>
      <c r="F298" s="7" t="s">
        <v>74</v>
      </c>
    </row>
    <row r="299" spans="1:6" ht="33" x14ac:dyDescent="0.25">
      <c r="A299" s="6" t="s">
        <v>2178</v>
      </c>
      <c r="B299" s="7" t="s">
        <v>2179</v>
      </c>
      <c r="C299" s="7"/>
      <c r="D299" s="7" t="s">
        <v>2180</v>
      </c>
      <c r="E299" s="7" t="s">
        <v>2181</v>
      </c>
      <c r="F299" s="7" t="s">
        <v>145</v>
      </c>
    </row>
    <row r="300" spans="1:6" ht="33" x14ac:dyDescent="0.25">
      <c r="A300" s="6" t="s">
        <v>1320</v>
      </c>
      <c r="B300" s="7" t="s">
        <v>1321</v>
      </c>
      <c r="C300" s="7"/>
      <c r="D300" s="7" t="s">
        <v>1322</v>
      </c>
      <c r="E300" s="7" t="s">
        <v>1323</v>
      </c>
      <c r="F300" s="7" t="s">
        <v>13</v>
      </c>
    </row>
    <row r="301" spans="1:6" ht="33" x14ac:dyDescent="0.25">
      <c r="A301" s="6" t="s">
        <v>1028</v>
      </c>
      <c r="B301" s="7" t="s">
        <v>1029</v>
      </c>
      <c r="C301" s="7"/>
      <c r="D301" s="7" t="s">
        <v>1030</v>
      </c>
      <c r="E301" s="7" t="s">
        <v>1031</v>
      </c>
      <c r="F301" s="7" t="s">
        <v>13</v>
      </c>
    </row>
    <row r="302" spans="1:6" ht="49.5" x14ac:dyDescent="0.25">
      <c r="A302" s="6" t="s">
        <v>1240</v>
      </c>
      <c r="B302" s="7" t="s">
        <v>1241</v>
      </c>
      <c r="C302" s="7"/>
      <c r="D302" s="7" t="s">
        <v>1242</v>
      </c>
      <c r="E302" s="7" t="s">
        <v>1243</v>
      </c>
      <c r="F302" s="7" t="s">
        <v>13</v>
      </c>
    </row>
    <row r="303" spans="1:6" ht="49.5" x14ac:dyDescent="0.25">
      <c r="A303" s="6" t="s">
        <v>2156</v>
      </c>
      <c r="B303" s="7" t="s">
        <v>2157</v>
      </c>
      <c r="C303" s="7" t="s">
        <v>2158</v>
      </c>
      <c r="D303" s="7" t="s">
        <v>2159</v>
      </c>
      <c r="E303" s="7" t="s">
        <v>2160</v>
      </c>
      <c r="F303" s="7" t="s">
        <v>57</v>
      </c>
    </row>
    <row r="304" spans="1:6" ht="33" x14ac:dyDescent="0.25">
      <c r="A304" s="6" t="s">
        <v>2156</v>
      </c>
      <c r="B304" s="7" t="s">
        <v>2157</v>
      </c>
      <c r="C304" s="7" t="s">
        <v>2161</v>
      </c>
      <c r="D304" s="7" t="s">
        <v>2162</v>
      </c>
      <c r="E304" s="7" t="s">
        <v>2163</v>
      </c>
      <c r="F304" s="7" t="s">
        <v>2164</v>
      </c>
    </row>
    <row r="305" spans="1:6" ht="33" x14ac:dyDescent="0.25">
      <c r="A305" s="6" t="s">
        <v>788</v>
      </c>
      <c r="B305" s="7" t="s">
        <v>787</v>
      </c>
      <c r="C305" s="7"/>
      <c r="D305" s="7" t="s">
        <v>789</v>
      </c>
      <c r="E305" s="7" t="s">
        <v>790</v>
      </c>
      <c r="F305" s="7" t="s">
        <v>13</v>
      </c>
    </row>
    <row r="306" spans="1:6" ht="49.5" x14ac:dyDescent="0.25">
      <c r="A306" s="6" t="s">
        <v>1057</v>
      </c>
      <c r="B306" s="7" t="s">
        <v>1058</v>
      </c>
      <c r="C306" s="7" t="s">
        <v>1059</v>
      </c>
      <c r="D306" s="7" t="s">
        <v>1060</v>
      </c>
      <c r="E306" s="7" t="s">
        <v>1061</v>
      </c>
      <c r="F306" s="7" t="s">
        <v>74</v>
      </c>
    </row>
    <row r="307" spans="1:6" ht="33" x14ac:dyDescent="0.25">
      <c r="A307" s="6" t="s">
        <v>134</v>
      </c>
      <c r="B307" s="7" t="s">
        <v>135</v>
      </c>
      <c r="C307" s="7"/>
      <c r="D307" s="7" t="s">
        <v>133</v>
      </c>
      <c r="E307" s="7" t="s">
        <v>132</v>
      </c>
      <c r="F307" s="7" t="s">
        <v>117</v>
      </c>
    </row>
    <row r="308" spans="1:6" ht="33" x14ac:dyDescent="0.25">
      <c r="A308" s="6" t="s">
        <v>792</v>
      </c>
      <c r="B308" s="7" t="s">
        <v>791</v>
      </c>
      <c r="C308" s="7"/>
      <c r="D308" s="7" t="s">
        <v>793</v>
      </c>
      <c r="E308" s="7" t="s">
        <v>794</v>
      </c>
      <c r="F308" s="7" t="s">
        <v>13</v>
      </c>
    </row>
    <row r="309" spans="1:6" ht="49.5" x14ac:dyDescent="0.25">
      <c r="A309" s="6" t="s">
        <v>685</v>
      </c>
      <c r="B309" s="7" t="s">
        <v>684</v>
      </c>
      <c r="C309" s="7"/>
      <c r="D309" s="7" t="s">
        <v>686</v>
      </c>
      <c r="E309" s="7" t="s">
        <v>687</v>
      </c>
      <c r="F309" s="7" t="s">
        <v>74</v>
      </c>
    </row>
    <row r="310" spans="1:6" ht="33" x14ac:dyDescent="0.25">
      <c r="A310" s="6" t="s">
        <v>550</v>
      </c>
      <c r="B310" s="7" t="s">
        <v>549</v>
      </c>
      <c r="C310" s="7"/>
      <c r="D310" s="7" t="s">
        <v>551</v>
      </c>
      <c r="E310" s="7" t="s">
        <v>552</v>
      </c>
      <c r="F310" s="7" t="s">
        <v>13</v>
      </c>
    </row>
    <row r="311" spans="1:6" ht="49.5" x14ac:dyDescent="0.25">
      <c r="A311" s="6" t="s">
        <v>1817</v>
      </c>
      <c r="B311" s="7" t="s">
        <v>1818</v>
      </c>
      <c r="C311" s="7"/>
      <c r="D311" s="7" t="s">
        <v>1819</v>
      </c>
      <c r="E311" s="7" t="s">
        <v>1820</v>
      </c>
      <c r="F311" s="7" t="s">
        <v>57</v>
      </c>
    </row>
    <row r="312" spans="1:6" ht="33" x14ac:dyDescent="0.25">
      <c r="A312" s="6" t="s">
        <v>1712</v>
      </c>
      <c r="B312" s="7" t="s">
        <v>1713</v>
      </c>
      <c r="C312" s="7" t="s">
        <v>1714</v>
      </c>
      <c r="D312" s="7" t="s">
        <v>1715</v>
      </c>
      <c r="E312" s="7" t="s">
        <v>1716</v>
      </c>
      <c r="F312" s="7" t="s">
        <v>74</v>
      </c>
    </row>
    <row r="313" spans="1:6" x14ac:dyDescent="0.25">
      <c r="A313" s="6" t="s">
        <v>796</v>
      </c>
      <c r="B313" s="7" t="s">
        <v>795</v>
      </c>
      <c r="C313" s="7"/>
      <c r="D313" s="7" t="s">
        <v>797</v>
      </c>
      <c r="E313" s="7" t="s">
        <v>798</v>
      </c>
      <c r="F313" s="7" t="s">
        <v>74</v>
      </c>
    </row>
    <row r="314" spans="1:6" ht="33" x14ac:dyDescent="0.25">
      <c r="A314" s="6" t="s">
        <v>1678</v>
      </c>
      <c r="B314" s="7" t="s">
        <v>1679</v>
      </c>
      <c r="C314" s="7"/>
      <c r="D314" s="7" t="s">
        <v>1680</v>
      </c>
      <c r="E314" s="7" t="s">
        <v>1681</v>
      </c>
      <c r="F314" s="7" t="s">
        <v>145</v>
      </c>
    </row>
    <row r="315" spans="1:6" ht="33" x14ac:dyDescent="0.25">
      <c r="A315" s="6" t="s">
        <v>2018</v>
      </c>
      <c r="B315" s="7" t="s">
        <v>2019</v>
      </c>
      <c r="C315" s="7"/>
      <c r="D315" s="7" t="s">
        <v>1805</v>
      </c>
      <c r="E315" s="7" t="s">
        <v>2020</v>
      </c>
      <c r="F315" s="7" t="s">
        <v>145</v>
      </c>
    </row>
    <row r="316" spans="1:6" ht="33" x14ac:dyDescent="0.25">
      <c r="A316" s="6" t="s">
        <v>800</v>
      </c>
      <c r="B316" s="7" t="s">
        <v>799</v>
      </c>
      <c r="C316" s="7"/>
      <c r="D316" s="7" t="s">
        <v>801</v>
      </c>
      <c r="E316" s="7" t="s">
        <v>802</v>
      </c>
      <c r="F316" s="7" t="s">
        <v>13</v>
      </c>
    </row>
    <row r="317" spans="1:6" ht="33" x14ac:dyDescent="0.25">
      <c r="A317" s="6" t="s">
        <v>1933</v>
      </c>
      <c r="B317" s="7" t="s">
        <v>1934</v>
      </c>
      <c r="C317" s="7"/>
      <c r="D317" s="7" t="s">
        <v>715</v>
      </c>
      <c r="E317" s="7" t="s">
        <v>1935</v>
      </c>
      <c r="F317" s="7" t="s">
        <v>13</v>
      </c>
    </row>
    <row r="318" spans="1:6" ht="33" x14ac:dyDescent="0.25">
      <c r="A318" s="6" t="s">
        <v>804</v>
      </c>
      <c r="B318" s="7" t="s">
        <v>803</v>
      </c>
      <c r="C318" s="7"/>
      <c r="D318" s="7" t="s">
        <v>805</v>
      </c>
      <c r="E318" s="7" t="s">
        <v>2602</v>
      </c>
      <c r="F318" s="7" t="s">
        <v>806</v>
      </c>
    </row>
    <row r="319" spans="1:6" ht="33" x14ac:dyDescent="0.25">
      <c r="A319" s="6" t="s">
        <v>554</v>
      </c>
      <c r="B319" s="7" t="s">
        <v>553</v>
      </c>
      <c r="C319" s="7" t="s">
        <v>555</v>
      </c>
      <c r="D319" s="7" t="s">
        <v>556</v>
      </c>
      <c r="E319" s="7" t="s">
        <v>557</v>
      </c>
      <c r="F319" s="7" t="s">
        <v>57</v>
      </c>
    </row>
    <row r="320" spans="1:6" ht="33" x14ac:dyDescent="0.25">
      <c r="A320" s="6" t="s">
        <v>1939</v>
      </c>
      <c r="B320" s="7" t="s">
        <v>1940</v>
      </c>
      <c r="C320" s="7"/>
      <c r="D320" s="7" t="s">
        <v>1941</v>
      </c>
      <c r="E320" s="7" t="s">
        <v>1942</v>
      </c>
      <c r="F320" s="7" t="s">
        <v>145</v>
      </c>
    </row>
    <row r="321" spans="1:6" ht="33" x14ac:dyDescent="0.25">
      <c r="A321" s="6" t="s">
        <v>808</v>
      </c>
      <c r="B321" s="7" t="s">
        <v>807</v>
      </c>
      <c r="C321" s="7"/>
      <c r="D321" s="7" t="s">
        <v>809</v>
      </c>
      <c r="E321" s="7" t="s">
        <v>2603</v>
      </c>
      <c r="F321" s="7" t="s">
        <v>13</v>
      </c>
    </row>
    <row r="322" spans="1:6" ht="33" x14ac:dyDescent="0.25">
      <c r="A322" s="6" t="s">
        <v>1131</v>
      </c>
      <c r="B322" s="7" t="s">
        <v>1132</v>
      </c>
      <c r="C322" s="7"/>
      <c r="D322" s="7" t="s">
        <v>1133</v>
      </c>
      <c r="E322" s="7" t="s">
        <v>1134</v>
      </c>
      <c r="F322" s="7" t="s">
        <v>13</v>
      </c>
    </row>
    <row r="323" spans="1:6" ht="33" x14ac:dyDescent="0.25">
      <c r="A323" s="6" t="s">
        <v>2258</v>
      </c>
      <c r="B323" s="7" t="s">
        <v>2259</v>
      </c>
      <c r="C323" s="7" t="s">
        <v>1109</v>
      </c>
      <c r="D323" s="7" t="s">
        <v>1811</v>
      </c>
      <c r="E323" s="7" t="s">
        <v>2260</v>
      </c>
      <c r="F323" s="7" t="s">
        <v>145</v>
      </c>
    </row>
    <row r="324" spans="1:6" ht="33" x14ac:dyDescent="0.25">
      <c r="A324" s="6" t="s">
        <v>811</v>
      </c>
      <c r="B324" s="7" t="s">
        <v>810</v>
      </c>
      <c r="C324" s="7"/>
      <c r="D324" s="7" t="s">
        <v>812</v>
      </c>
      <c r="E324" s="7" t="s">
        <v>813</v>
      </c>
      <c r="F324" s="7" t="s">
        <v>13</v>
      </c>
    </row>
    <row r="325" spans="1:6" ht="49.5" x14ac:dyDescent="0.25">
      <c r="A325" s="6" t="s">
        <v>2003</v>
      </c>
      <c r="B325" s="7" t="s">
        <v>2004</v>
      </c>
      <c r="C325" s="7" t="s">
        <v>1041</v>
      </c>
      <c r="D325" s="7" t="s">
        <v>2005</v>
      </c>
      <c r="E325" s="7" t="s">
        <v>2006</v>
      </c>
      <c r="F325" s="7" t="s">
        <v>145</v>
      </c>
    </row>
    <row r="326" spans="1:6" ht="33" x14ac:dyDescent="0.25">
      <c r="A326" s="6" t="s">
        <v>2207</v>
      </c>
      <c r="B326" s="7" t="s">
        <v>2208</v>
      </c>
      <c r="C326" s="7"/>
      <c r="D326" s="7" t="s">
        <v>1780</v>
      </c>
      <c r="E326" s="7" t="s">
        <v>2209</v>
      </c>
      <c r="F326" s="7" t="s">
        <v>145</v>
      </c>
    </row>
    <row r="327" spans="1:6" ht="33" x14ac:dyDescent="0.25">
      <c r="A327" s="6" t="s">
        <v>328</v>
      </c>
      <c r="B327" s="7" t="s">
        <v>327</v>
      </c>
      <c r="C327" s="7"/>
      <c r="D327" s="7" t="s">
        <v>329</v>
      </c>
      <c r="E327" s="7" t="s">
        <v>330</v>
      </c>
      <c r="F327" s="7" t="s">
        <v>195</v>
      </c>
    </row>
    <row r="328" spans="1:6" ht="33" x14ac:dyDescent="0.25">
      <c r="A328" s="6" t="s">
        <v>559</v>
      </c>
      <c r="B328" s="7" t="s">
        <v>558</v>
      </c>
      <c r="C328" s="7"/>
      <c r="D328" s="7" t="s">
        <v>560</v>
      </c>
      <c r="E328" s="7" t="s">
        <v>561</v>
      </c>
      <c r="F328" s="7" t="s">
        <v>13</v>
      </c>
    </row>
    <row r="329" spans="1:6" ht="33" x14ac:dyDescent="0.25">
      <c r="A329" s="6" t="s">
        <v>1758</v>
      </c>
      <c r="B329" s="7" t="s">
        <v>1759</v>
      </c>
      <c r="C329" s="7"/>
      <c r="D329" s="7" t="s">
        <v>1760</v>
      </c>
      <c r="E329" s="7" t="s">
        <v>1761</v>
      </c>
      <c r="F329" s="7" t="s">
        <v>74</v>
      </c>
    </row>
    <row r="330" spans="1:6" ht="33" x14ac:dyDescent="0.25">
      <c r="A330" s="6" t="s">
        <v>2265</v>
      </c>
      <c r="B330" s="7" t="s">
        <v>2266</v>
      </c>
      <c r="C330" s="7"/>
      <c r="D330" s="7" t="s">
        <v>2047</v>
      </c>
      <c r="E330" s="7" t="s">
        <v>2267</v>
      </c>
      <c r="F330" s="7" t="s">
        <v>145</v>
      </c>
    </row>
    <row r="331" spans="1:6" ht="33" x14ac:dyDescent="0.25">
      <c r="A331" s="6" t="s">
        <v>2057</v>
      </c>
      <c r="B331" s="7" t="s">
        <v>2058</v>
      </c>
      <c r="C331" s="7" t="s">
        <v>2059</v>
      </c>
      <c r="D331" s="7" t="s">
        <v>2060</v>
      </c>
      <c r="E331" s="7" t="s">
        <v>2061</v>
      </c>
      <c r="F331" s="7" t="s">
        <v>145</v>
      </c>
    </row>
    <row r="332" spans="1:6" ht="33" x14ac:dyDescent="0.25">
      <c r="A332" s="6" t="s">
        <v>1103</v>
      </c>
      <c r="B332" s="7" t="s">
        <v>1104</v>
      </c>
      <c r="C332" s="7"/>
      <c r="D332" s="7" t="s">
        <v>1105</v>
      </c>
      <c r="E332" s="7" t="s">
        <v>1106</v>
      </c>
      <c r="F332" s="7" t="s">
        <v>13</v>
      </c>
    </row>
    <row r="333" spans="1:6" ht="49.5" x14ac:dyDescent="0.25">
      <c r="A333" s="6" t="s">
        <v>815</v>
      </c>
      <c r="B333" s="7" t="s">
        <v>814</v>
      </c>
      <c r="C333" s="7"/>
      <c r="D333" s="7" t="s">
        <v>816</v>
      </c>
      <c r="E333" s="7" t="s">
        <v>817</v>
      </c>
      <c r="F333" s="7" t="s">
        <v>818</v>
      </c>
    </row>
    <row r="334" spans="1:6" ht="33" x14ac:dyDescent="0.25">
      <c r="A334" s="6" t="s">
        <v>1685</v>
      </c>
      <c r="B334" s="7" t="s">
        <v>1686</v>
      </c>
      <c r="C334" s="7"/>
      <c r="D334" s="7" t="s">
        <v>1687</v>
      </c>
      <c r="E334" s="7" t="s">
        <v>1688</v>
      </c>
      <c r="F334" s="7" t="s">
        <v>46</v>
      </c>
    </row>
    <row r="335" spans="1:6" ht="49.5" x14ac:dyDescent="0.25">
      <c r="A335" s="6" t="s">
        <v>1556</v>
      </c>
      <c r="B335" s="7" t="s">
        <v>1557</v>
      </c>
      <c r="C335" s="7"/>
      <c r="D335" s="7" t="s">
        <v>1558</v>
      </c>
      <c r="E335" s="7" t="s">
        <v>1559</v>
      </c>
      <c r="F335" s="7" t="s">
        <v>145</v>
      </c>
    </row>
    <row r="336" spans="1:6" ht="49.5" x14ac:dyDescent="0.25">
      <c r="A336" s="6" t="s">
        <v>820</v>
      </c>
      <c r="B336" s="7" t="s">
        <v>819</v>
      </c>
      <c r="C336" s="7" t="s">
        <v>821</v>
      </c>
      <c r="D336" s="7" t="s">
        <v>822</v>
      </c>
      <c r="E336" s="7" t="s">
        <v>823</v>
      </c>
      <c r="F336" s="7" t="s">
        <v>26</v>
      </c>
    </row>
    <row r="337" spans="1:6" ht="33" x14ac:dyDescent="0.25">
      <c r="A337" s="6" t="s">
        <v>2021</v>
      </c>
      <c r="B337" s="7" t="s">
        <v>2022</v>
      </c>
      <c r="C337" s="7"/>
      <c r="D337" s="7" t="s">
        <v>2023</v>
      </c>
      <c r="E337" s="7" t="s">
        <v>2024</v>
      </c>
      <c r="F337" s="7" t="s">
        <v>74</v>
      </c>
    </row>
    <row r="338" spans="1:6" ht="33" x14ac:dyDescent="0.25">
      <c r="A338" s="6" t="s">
        <v>563</v>
      </c>
      <c r="B338" s="7" t="s">
        <v>562</v>
      </c>
      <c r="C338" s="7" t="s">
        <v>564</v>
      </c>
      <c r="D338" s="7" t="s">
        <v>565</v>
      </c>
      <c r="E338" s="7" t="s">
        <v>566</v>
      </c>
      <c r="F338" s="7" t="s">
        <v>57</v>
      </c>
    </row>
    <row r="339" spans="1:6" ht="33" x14ac:dyDescent="0.25">
      <c r="A339" s="6" t="s">
        <v>1379</v>
      </c>
      <c r="B339" s="7" t="s">
        <v>1380</v>
      </c>
      <c r="C339" s="7"/>
      <c r="D339" s="7" t="s">
        <v>1381</v>
      </c>
      <c r="E339" s="7" t="s">
        <v>2604</v>
      </c>
      <c r="F339" s="7" t="s">
        <v>1382</v>
      </c>
    </row>
    <row r="340" spans="1:6" ht="33" x14ac:dyDescent="0.25">
      <c r="A340" s="6" t="s">
        <v>1824</v>
      </c>
      <c r="B340" s="7" t="s">
        <v>1825</v>
      </c>
      <c r="C340" s="7"/>
      <c r="D340" s="7" t="s">
        <v>1608</v>
      </c>
      <c r="E340" s="7" t="s">
        <v>1826</v>
      </c>
      <c r="F340" s="7" t="s">
        <v>74</v>
      </c>
    </row>
    <row r="341" spans="1:6" ht="33" x14ac:dyDescent="0.25">
      <c r="A341" s="6" t="s">
        <v>1610</v>
      </c>
      <c r="B341" s="7" t="s">
        <v>1611</v>
      </c>
      <c r="C341" s="7"/>
      <c r="D341" s="7" t="s">
        <v>1612</v>
      </c>
      <c r="E341" s="7" t="s">
        <v>1613</v>
      </c>
      <c r="F341" s="7" t="s">
        <v>46</v>
      </c>
    </row>
    <row r="342" spans="1:6" ht="33" x14ac:dyDescent="0.25">
      <c r="A342" s="6" t="s">
        <v>2081</v>
      </c>
      <c r="B342" s="7" t="s">
        <v>2082</v>
      </c>
      <c r="C342" s="7"/>
      <c r="D342" s="7" t="s">
        <v>2083</v>
      </c>
      <c r="E342" s="7" t="s">
        <v>2084</v>
      </c>
      <c r="F342" s="7" t="s">
        <v>57</v>
      </c>
    </row>
    <row r="343" spans="1:6" x14ac:dyDescent="0.25">
      <c r="A343" s="6" t="s">
        <v>332</v>
      </c>
      <c r="B343" s="7" t="s">
        <v>331</v>
      </c>
      <c r="C343" s="7"/>
      <c r="D343" s="7" t="s">
        <v>333</v>
      </c>
      <c r="E343" s="7" t="s">
        <v>334</v>
      </c>
      <c r="F343" s="7" t="s">
        <v>74</v>
      </c>
    </row>
    <row r="344" spans="1:6" ht="33" x14ac:dyDescent="0.25">
      <c r="A344" s="6" t="s">
        <v>825</v>
      </c>
      <c r="B344" s="7" t="s">
        <v>824</v>
      </c>
      <c r="C344" s="7" t="s">
        <v>826</v>
      </c>
      <c r="D344" s="7" t="s">
        <v>827</v>
      </c>
      <c r="E344" s="7" t="s">
        <v>828</v>
      </c>
      <c r="F344" s="7" t="s">
        <v>13</v>
      </c>
    </row>
    <row r="345" spans="1:6" ht="33" x14ac:dyDescent="0.25">
      <c r="A345" s="6" t="s">
        <v>1571</v>
      </c>
      <c r="B345" s="7" t="s">
        <v>1572</v>
      </c>
      <c r="C345" s="7"/>
      <c r="D345" s="7" t="s">
        <v>1573</v>
      </c>
      <c r="E345" s="7" t="s">
        <v>1574</v>
      </c>
      <c r="F345" s="7" t="s">
        <v>145</v>
      </c>
    </row>
    <row r="346" spans="1:6" ht="33" x14ac:dyDescent="0.25">
      <c r="A346" s="6" t="s">
        <v>1163</v>
      </c>
      <c r="B346" s="7" t="s">
        <v>1164</v>
      </c>
      <c r="C346" s="7"/>
      <c r="D346" s="7" t="s">
        <v>1165</v>
      </c>
      <c r="E346" s="7" t="s">
        <v>1166</v>
      </c>
      <c r="F346" s="7" t="s">
        <v>13</v>
      </c>
    </row>
    <row r="347" spans="1:6" ht="33" x14ac:dyDescent="0.25">
      <c r="A347" s="6" t="s">
        <v>2054</v>
      </c>
      <c r="B347" s="7" t="s">
        <v>2055</v>
      </c>
      <c r="C347" s="7"/>
      <c r="D347" s="7" t="s">
        <v>2047</v>
      </c>
      <c r="E347" s="7" t="s">
        <v>2056</v>
      </c>
      <c r="F347" s="7" t="s">
        <v>46</v>
      </c>
    </row>
    <row r="348" spans="1:6" ht="33" x14ac:dyDescent="0.25">
      <c r="A348" s="6" t="s">
        <v>2341</v>
      </c>
      <c r="B348" s="7" t="s">
        <v>2342</v>
      </c>
      <c r="C348" s="7" t="s">
        <v>1109</v>
      </c>
      <c r="D348" s="7" t="s">
        <v>2343</v>
      </c>
      <c r="E348" s="7" t="s">
        <v>2344</v>
      </c>
      <c r="F348" s="7" t="s">
        <v>46</v>
      </c>
    </row>
    <row r="349" spans="1:6" ht="33" x14ac:dyDescent="0.25">
      <c r="A349" s="6" t="s">
        <v>1623</v>
      </c>
      <c r="B349" s="7" t="s">
        <v>1624</v>
      </c>
      <c r="C349" s="7" t="s">
        <v>1625</v>
      </c>
      <c r="D349" s="7" t="s">
        <v>1604</v>
      </c>
      <c r="E349" s="7" t="s">
        <v>1626</v>
      </c>
      <c r="F349" s="7" t="s">
        <v>74</v>
      </c>
    </row>
    <row r="350" spans="1:6" ht="49.5" x14ac:dyDescent="0.25">
      <c r="A350" s="6" t="s">
        <v>142</v>
      </c>
      <c r="B350" s="7" t="s">
        <v>143</v>
      </c>
      <c r="C350" s="7"/>
      <c r="D350" s="7" t="s">
        <v>141</v>
      </c>
      <c r="E350" s="7" t="s">
        <v>140</v>
      </c>
      <c r="F350" s="7" t="s">
        <v>117</v>
      </c>
    </row>
    <row r="351" spans="1:6" ht="33" x14ac:dyDescent="0.25">
      <c r="A351" s="6" t="s">
        <v>2238</v>
      </c>
      <c r="B351" s="7" t="s">
        <v>2239</v>
      </c>
      <c r="C351" s="7"/>
      <c r="D351" s="7" t="s">
        <v>1050</v>
      </c>
      <c r="E351" s="7" t="s">
        <v>2240</v>
      </c>
      <c r="F351" s="7" t="s">
        <v>145</v>
      </c>
    </row>
    <row r="352" spans="1:6" ht="33" x14ac:dyDescent="0.25">
      <c r="A352" s="6" t="s">
        <v>568</v>
      </c>
      <c r="B352" s="7" t="s">
        <v>567</v>
      </c>
      <c r="C352" s="7"/>
      <c r="D352" s="7" t="s">
        <v>569</v>
      </c>
      <c r="E352" s="7" t="s">
        <v>570</v>
      </c>
      <c r="F352" s="7" t="s">
        <v>57</v>
      </c>
    </row>
    <row r="353" spans="1:6" ht="49.5" x14ac:dyDescent="0.25">
      <c r="A353" s="6" t="s">
        <v>571</v>
      </c>
      <c r="B353" s="7" t="s">
        <v>567</v>
      </c>
      <c r="C353" s="7"/>
      <c r="D353" s="7" t="s">
        <v>572</v>
      </c>
      <c r="E353" s="7" t="s">
        <v>573</v>
      </c>
      <c r="F353" s="7" t="s">
        <v>57</v>
      </c>
    </row>
    <row r="354" spans="1:6" ht="33" x14ac:dyDescent="0.25">
      <c r="A354" s="6" t="s">
        <v>336</v>
      </c>
      <c r="B354" s="7" t="s">
        <v>335</v>
      </c>
      <c r="C354" s="7" t="s">
        <v>337</v>
      </c>
      <c r="D354" s="7" t="s">
        <v>338</v>
      </c>
      <c r="E354" s="7" t="s">
        <v>339</v>
      </c>
      <c r="F354" s="7" t="s">
        <v>57</v>
      </c>
    </row>
    <row r="355" spans="1:6" ht="33" x14ac:dyDescent="0.25">
      <c r="A355" s="6" t="s">
        <v>2223</v>
      </c>
      <c r="B355" s="7" t="s">
        <v>2224</v>
      </c>
      <c r="C355" s="7" t="s">
        <v>1109</v>
      </c>
      <c r="D355" s="7" t="s">
        <v>2225</v>
      </c>
      <c r="E355" s="7" t="s">
        <v>2226</v>
      </c>
      <c r="F355" s="7" t="s">
        <v>145</v>
      </c>
    </row>
    <row r="356" spans="1:6" ht="33" x14ac:dyDescent="0.25">
      <c r="A356" s="6" t="s">
        <v>983</v>
      </c>
      <c r="B356" s="7" t="s">
        <v>984</v>
      </c>
      <c r="C356" s="7"/>
      <c r="D356" s="7" t="s">
        <v>985</v>
      </c>
      <c r="E356" s="7" t="s">
        <v>986</v>
      </c>
      <c r="F356" s="7" t="s">
        <v>13</v>
      </c>
    </row>
    <row r="357" spans="1:6" ht="33" x14ac:dyDescent="0.25">
      <c r="A357" s="6" t="s">
        <v>1662</v>
      </c>
      <c r="B357" s="7" t="s">
        <v>1663</v>
      </c>
      <c r="C357" s="7"/>
      <c r="D357" s="7" t="s">
        <v>1664</v>
      </c>
      <c r="E357" s="7" t="s">
        <v>1665</v>
      </c>
      <c r="F357" s="7" t="s">
        <v>145</v>
      </c>
    </row>
    <row r="358" spans="1:6" ht="33" x14ac:dyDescent="0.25">
      <c r="A358" s="6" t="s">
        <v>2214</v>
      </c>
      <c r="B358" s="7" t="s">
        <v>2215</v>
      </c>
      <c r="C358" s="7"/>
      <c r="D358" s="7" t="s">
        <v>2216</v>
      </c>
      <c r="E358" s="7" t="s">
        <v>2217</v>
      </c>
      <c r="F358" s="7" t="s">
        <v>145</v>
      </c>
    </row>
    <row r="359" spans="1:6" ht="33" x14ac:dyDescent="0.25">
      <c r="A359" s="6" t="s">
        <v>1065</v>
      </c>
      <c r="B359" s="7" t="s">
        <v>1066</v>
      </c>
      <c r="C359" s="7"/>
      <c r="D359" s="7" t="s">
        <v>1067</v>
      </c>
      <c r="E359" s="7" t="s">
        <v>1068</v>
      </c>
      <c r="F359" s="7" t="s">
        <v>13</v>
      </c>
    </row>
    <row r="360" spans="1:6" ht="33" x14ac:dyDescent="0.25">
      <c r="A360" s="6" t="s">
        <v>1292</v>
      </c>
      <c r="B360" s="7" t="s">
        <v>1293</v>
      </c>
      <c r="C360" s="7"/>
      <c r="D360" s="7" t="s">
        <v>1294</v>
      </c>
      <c r="E360" s="7" t="s">
        <v>1295</v>
      </c>
      <c r="F360" s="7" t="s">
        <v>13</v>
      </c>
    </row>
    <row r="361" spans="1:6" ht="33" x14ac:dyDescent="0.25">
      <c r="A361" s="6" t="s">
        <v>1179</v>
      </c>
      <c r="B361" s="7" t="s">
        <v>1180</v>
      </c>
      <c r="C361" s="7"/>
      <c r="D361" s="7" t="s">
        <v>1181</v>
      </c>
      <c r="E361" s="7" t="s">
        <v>1182</v>
      </c>
      <c r="F361" s="7" t="s">
        <v>13</v>
      </c>
    </row>
    <row r="362" spans="1:6" ht="33" x14ac:dyDescent="0.25">
      <c r="A362" s="6" t="s">
        <v>2406</v>
      </c>
      <c r="B362" s="7" t="s">
        <v>2407</v>
      </c>
      <c r="C362" s="7"/>
      <c r="D362" s="7" t="s">
        <v>2408</v>
      </c>
      <c r="E362" s="7" t="s">
        <v>2409</v>
      </c>
      <c r="F362" s="7" t="s">
        <v>26</v>
      </c>
    </row>
    <row r="363" spans="1:6" ht="33" x14ac:dyDescent="0.25">
      <c r="A363" s="6" t="s">
        <v>830</v>
      </c>
      <c r="B363" s="7" t="s">
        <v>829</v>
      </c>
      <c r="C363" s="7"/>
      <c r="D363" s="7" t="s">
        <v>831</v>
      </c>
      <c r="E363" s="7" t="s">
        <v>832</v>
      </c>
      <c r="F363" s="7" t="s">
        <v>13</v>
      </c>
    </row>
    <row r="364" spans="1:6" ht="33" x14ac:dyDescent="0.25">
      <c r="A364" s="6" t="s">
        <v>1632</v>
      </c>
      <c r="B364" s="7" t="s">
        <v>1633</v>
      </c>
      <c r="C364" s="7" t="s">
        <v>1625</v>
      </c>
      <c r="D364" s="7" t="s">
        <v>1084</v>
      </c>
      <c r="E364" s="7" t="s">
        <v>1634</v>
      </c>
      <c r="F364" s="7" t="s">
        <v>46</v>
      </c>
    </row>
    <row r="365" spans="1:6" ht="33" x14ac:dyDescent="0.25">
      <c r="A365" s="6" t="s">
        <v>1999</v>
      </c>
      <c r="B365" s="7" t="s">
        <v>2000</v>
      </c>
      <c r="C365" s="7"/>
      <c r="D365" s="7" t="s">
        <v>2001</v>
      </c>
      <c r="E365" s="7" t="s">
        <v>2002</v>
      </c>
      <c r="F365" s="7" t="s">
        <v>46</v>
      </c>
    </row>
    <row r="366" spans="1:6" ht="33" x14ac:dyDescent="0.25">
      <c r="A366" s="6" t="s">
        <v>1865</v>
      </c>
      <c r="B366" s="7" t="s">
        <v>1866</v>
      </c>
      <c r="C366" s="7"/>
      <c r="D366" s="7" t="s">
        <v>1867</v>
      </c>
      <c r="E366" s="7" t="s">
        <v>1868</v>
      </c>
      <c r="F366" s="7" t="s">
        <v>145</v>
      </c>
    </row>
    <row r="367" spans="1:6" ht="33" x14ac:dyDescent="0.25">
      <c r="A367" s="6" t="s">
        <v>834</v>
      </c>
      <c r="B367" s="7" t="s">
        <v>833</v>
      </c>
      <c r="C367" s="7" t="s">
        <v>835</v>
      </c>
      <c r="D367" s="7" t="s">
        <v>836</v>
      </c>
      <c r="E367" s="7" t="s">
        <v>837</v>
      </c>
      <c r="F367" s="7" t="s">
        <v>13</v>
      </c>
    </row>
    <row r="368" spans="1:6" ht="33" x14ac:dyDescent="0.25">
      <c r="A368" s="6" t="s">
        <v>2135</v>
      </c>
      <c r="B368" s="7" t="s">
        <v>2136</v>
      </c>
      <c r="C368" s="7" t="s">
        <v>2137</v>
      </c>
      <c r="D368" s="7" t="s">
        <v>2138</v>
      </c>
      <c r="E368" s="7" t="s">
        <v>2139</v>
      </c>
      <c r="F368" s="7" t="s">
        <v>57</v>
      </c>
    </row>
    <row r="369" spans="1:6" ht="33" x14ac:dyDescent="0.25">
      <c r="A369" s="6" t="s">
        <v>2140</v>
      </c>
      <c r="B369" s="7" t="s">
        <v>2136</v>
      </c>
      <c r="C369" s="7" t="s">
        <v>2141</v>
      </c>
      <c r="D369" s="7" t="s">
        <v>2142</v>
      </c>
      <c r="E369" s="7" t="s">
        <v>2605</v>
      </c>
      <c r="F369" s="7" t="s">
        <v>57</v>
      </c>
    </row>
    <row r="370" spans="1:6" ht="33" x14ac:dyDescent="0.25">
      <c r="A370" s="6" t="s">
        <v>1666</v>
      </c>
      <c r="B370" s="7" t="s">
        <v>1667</v>
      </c>
      <c r="C370" s="7" t="s">
        <v>1607</v>
      </c>
      <c r="D370" s="7" t="s">
        <v>1668</v>
      </c>
      <c r="E370" s="7" t="s">
        <v>1669</v>
      </c>
      <c r="F370" s="7" t="s">
        <v>46</v>
      </c>
    </row>
    <row r="371" spans="1:6" ht="33" x14ac:dyDescent="0.25">
      <c r="A371" s="6" t="s">
        <v>36</v>
      </c>
      <c r="B371" s="7" t="s">
        <v>37</v>
      </c>
      <c r="C371" s="7"/>
      <c r="D371" s="7" t="s">
        <v>35</v>
      </c>
      <c r="E371" s="7" t="s">
        <v>34</v>
      </c>
      <c r="F371" s="7" t="s">
        <v>13</v>
      </c>
    </row>
    <row r="372" spans="1:6" ht="49.5" x14ac:dyDescent="0.25">
      <c r="A372" s="6" t="s">
        <v>1262</v>
      </c>
      <c r="B372" s="7" t="s">
        <v>1263</v>
      </c>
      <c r="C372" s="7"/>
      <c r="D372" s="7" t="s">
        <v>1264</v>
      </c>
      <c r="E372" s="7" t="s">
        <v>1265</v>
      </c>
      <c r="F372" s="7" t="s">
        <v>13</v>
      </c>
    </row>
    <row r="373" spans="1:6" ht="49.5" x14ac:dyDescent="0.25">
      <c r="A373" s="6" t="s">
        <v>67</v>
      </c>
      <c r="B373" s="7" t="s">
        <v>68</v>
      </c>
      <c r="C373" s="7" t="s">
        <v>65</v>
      </c>
      <c r="D373" s="7" t="s">
        <v>66</v>
      </c>
      <c r="E373" s="7" t="s">
        <v>64</v>
      </c>
      <c r="F373" s="7" t="s">
        <v>26</v>
      </c>
    </row>
    <row r="374" spans="1:6" ht="33" x14ac:dyDescent="0.25">
      <c r="A374" s="6" t="s">
        <v>2115</v>
      </c>
      <c r="B374" s="7" t="s">
        <v>2116</v>
      </c>
      <c r="C374" s="7" t="s">
        <v>2117</v>
      </c>
      <c r="D374" s="7" t="s">
        <v>2001</v>
      </c>
      <c r="E374" s="7" t="s">
        <v>2118</v>
      </c>
      <c r="F374" s="7" t="s">
        <v>46</v>
      </c>
    </row>
    <row r="375" spans="1:6" ht="33" x14ac:dyDescent="0.25">
      <c r="A375" s="6" t="s">
        <v>839</v>
      </c>
      <c r="B375" s="7" t="s">
        <v>838</v>
      </c>
      <c r="C375" s="7"/>
      <c r="D375" s="7" t="s">
        <v>840</v>
      </c>
      <c r="E375" s="7" t="s">
        <v>2606</v>
      </c>
      <c r="F375" s="7" t="s">
        <v>13</v>
      </c>
    </row>
    <row r="376" spans="1:6" ht="33" x14ac:dyDescent="0.25">
      <c r="A376" s="6" t="s">
        <v>59</v>
      </c>
      <c r="B376" s="7" t="s">
        <v>60</v>
      </c>
      <c r="C376" s="7"/>
      <c r="D376" s="7" t="s">
        <v>58</v>
      </c>
      <c r="E376" s="7" t="s">
        <v>56</v>
      </c>
      <c r="F376" s="7" t="s">
        <v>57</v>
      </c>
    </row>
    <row r="377" spans="1:6" ht="33" x14ac:dyDescent="0.25">
      <c r="A377" s="6" t="s">
        <v>2198</v>
      </c>
      <c r="B377" s="7" t="s">
        <v>2199</v>
      </c>
      <c r="C377" s="7"/>
      <c r="D377" s="7" t="s">
        <v>1608</v>
      </c>
      <c r="E377" s="7" t="s">
        <v>2200</v>
      </c>
      <c r="F377" s="7" t="s">
        <v>74</v>
      </c>
    </row>
    <row r="378" spans="1:6" ht="33" x14ac:dyDescent="0.25">
      <c r="A378" s="6" t="s">
        <v>842</v>
      </c>
      <c r="B378" s="7" t="s">
        <v>841</v>
      </c>
      <c r="C378" s="7"/>
      <c r="D378" s="7" t="s">
        <v>843</v>
      </c>
      <c r="E378" s="7" t="s">
        <v>844</v>
      </c>
      <c r="F378" s="7" t="s">
        <v>13</v>
      </c>
    </row>
    <row r="379" spans="1:6" ht="33" x14ac:dyDescent="0.25">
      <c r="A379" s="6" t="s">
        <v>1840</v>
      </c>
      <c r="B379" s="7" t="s">
        <v>1841</v>
      </c>
      <c r="C379" s="7"/>
      <c r="D379" s="7" t="s">
        <v>1842</v>
      </c>
      <c r="E379" s="7" t="s">
        <v>1843</v>
      </c>
      <c r="F379" s="7" t="s">
        <v>57</v>
      </c>
    </row>
    <row r="380" spans="1:6" ht="33" x14ac:dyDescent="0.25">
      <c r="A380" s="6" t="s">
        <v>575</v>
      </c>
      <c r="B380" s="7" t="s">
        <v>574</v>
      </c>
      <c r="C380" s="7" t="s">
        <v>576</v>
      </c>
      <c r="D380" s="7" t="s">
        <v>577</v>
      </c>
      <c r="E380" s="7" t="s">
        <v>578</v>
      </c>
      <c r="F380" s="7" t="s">
        <v>57</v>
      </c>
    </row>
    <row r="381" spans="1:6" ht="33" x14ac:dyDescent="0.25">
      <c r="A381" s="6" t="s">
        <v>32</v>
      </c>
      <c r="B381" s="7" t="s">
        <v>33</v>
      </c>
      <c r="C381" s="7"/>
      <c r="D381" s="7" t="s">
        <v>31</v>
      </c>
      <c r="E381" s="7" t="s">
        <v>30</v>
      </c>
      <c r="F381" s="7" t="s">
        <v>26</v>
      </c>
    </row>
    <row r="382" spans="1:6" ht="33" x14ac:dyDescent="0.25">
      <c r="A382" s="6" t="s">
        <v>580</v>
      </c>
      <c r="B382" s="7" t="s">
        <v>579</v>
      </c>
      <c r="C382" s="7"/>
      <c r="D382" s="7" t="s">
        <v>581</v>
      </c>
      <c r="E382" s="7" t="s">
        <v>582</v>
      </c>
      <c r="F382" s="7" t="s">
        <v>74</v>
      </c>
    </row>
    <row r="383" spans="1:6" ht="49.5" x14ac:dyDescent="0.25">
      <c r="A383" s="6" t="s">
        <v>1509</v>
      </c>
      <c r="B383" s="7" t="s">
        <v>1510</v>
      </c>
      <c r="C383" s="7"/>
      <c r="D383" s="7" t="s">
        <v>27</v>
      </c>
      <c r="E383" s="7" t="s">
        <v>1511</v>
      </c>
      <c r="F383" s="7" t="s">
        <v>74</v>
      </c>
    </row>
    <row r="384" spans="1:6" ht="33" x14ac:dyDescent="0.25">
      <c r="A384" s="6" t="s">
        <v>2507</v>
      </c>
      <c r="B384" s="7" t="s">
        <v>2508</v>
      </c>
      <c r="C384" s="7"/>
      <c r="D384" s="7" t="s">
        <v>2509</v>
      </c>
      <c r="E384" s="7" t="s">
        <v>2510</v>
      </c>
      <c r="F384" s="7" t="s">
        <v>145</v>
      </c>
    </row>
    <row r="385" spans="1:6" ht="33" x14ac:dyDescent="0.25">
      <c r="A385" s="6" t="s">
        <v>846</v>
      </c>
      <c r="B385" s="7" t="s">
        <v>845</v>
      </c>
      <c r="C385" s="7"/>
      <c r="D385" s="7" t="s">
        <v>847</v>
      </c>
      <c r="E385" s="7" t="s">
        <v>848</v>
      </c>
      <c r="F385" s="7" t="s">
        <v>74</v>
      </c>
    </row>
    <row r="386" spans="1:6" ht="33" x14ac:dyDescent="0.25">
      <c r="A386" s="6" t="s">
        <v>850</v>
      </c>
      <c r="B386" s="7" t="s">
        <v>849</v>
      </c>
      <c r="C386" s="7"/>
      <c r="D386" s="7" t="s">
        <v>851</v>
      </c>
      <c r="E386" s="7" t="s">
        <v>852</v>
      </c>
      <c r="F386" s="7" t="s">
        <v>74</v>
      </c>
    </row>
    <row r="387" spans="1:6" ht="33" x14ac:dyDescent="0.25">
      <c r="A387" s="6" t="s">
        <v>854</v>
      </c>
      <c r="B387" s="7" t="s">
        <v>853</v>
      </c>
      <c r="C387" s="7"/>
      <c r="D387" s="7" t="s">
        <v>855</v>
      </c>
      <c r="E387" s="7" t="s">
        <v>856</v>
      </c>
      <c r="F387" s="7" t="s">
        <v>13</v>
      </c>
    </row>
    <row r="388" spans="1:6" ht="33" x14ac:dyDescent="0.25">
      <c r="A388" s="6" t="s">
        <v>858</v>
      </c>
      <c r="B388" s="7" t="s">
        <v>857</v>
      </c>
      <c r="C388" s="7"/>
      <c r="D388" s="7" t="s">
        <v>859</v>
      </c>
      <c r="E388" s="7" t="s">
        <v>860</v>
      </c>
      <c r="F388" s="7" t="s">
        <v>13</v>
      </c>
    </row>
    <row r="389" spans="1:6" x14ac:dyDescent="0.25">
      <c r="A389" s="6" t="s">
        <v>341</v>
      </c>
      <c r="B389" s="7" t="s">
        <v>340</v>
      </c>
      <c r="C389" s="7"/>
      <c r="D389" s="7" t="s">
        <v>342</v>
      </c>
      <c r="E389" s="7" t="s">
        <v>343</v>
      </c>
      <c r="F389" s="7" t="s">
        <v>117</v>
      </c>
    </row>
    <row r="390" spans="1:6" ht="33" x14ac:dyDescent="0.25">
      <c r="A390" s="6" t="s">
        <v>2451</v>
      </c>
      <c r="B390" s="7" t="s">
        <v>2452</v>
      </c>
      <c r="C390" s="7"/>
      <c r="D390" s="7" t="s">
        <v>2453</v>
      </c>
      <c r="E390" s="7" t="s">
        <v>2454</v>
      </c>
      <c r="F390" s="7" t="s">
        <v>145</v>
      </c>
    </row>
    <row r="391" spans="1:6" ht="33" x14ac:dyDescent="0.25">
      <c r="A391" s="6" t="s">
        <v>2050</v>
      </c>
      <c r="B391" s="7" t="s">
        <v>2051</v>
      </c>
      <c r="C391" s="7" t="s">
        <v>1996</v>
      </c>
      <c r="D391" s="7" t="s">
        <v>2052</v>
      </c>
      <c r="E391" s="7" t="s">
        <v>2053</v>
      </c>
      <c r="F391" s="7" t="s">
        <v>145</v>
      </c>
    </row>
    <row r="392" spans="1:6" ht="33" x14ac:dyDescent="0.25">
      <c r="A392" s="6" t="s">
        <v>345</v>
      </c>
      <c r="B392" s="7" t="s">
        <v>344</v>
      </c>
      <c r="C392" s="7" t="s">
        <v>346</v>
      </c>
      <c r="D392" s="7" t="s">
        <v>347</v>
      </c>
      <c r="E392" s="7" t="s">
        <v>348</v>
      </c>
      <c r="F392" s="7" t="s">
        <v>74</v>
      </c>
    </row>
    <row r="393" spans="1:6" ht="33" x14ac:dyDescent="0.25">
      <c r="A393" s="6" t="s">
        <v>79</v>
      </c>
      <c r="B393" s="7" t="s">
        <v>80</v>
      </c>
      <c r="C393" s="7"/>
      <c r="D393" s="7" t="s">
        <v>78</v>
      </c>
      <c r="E393" s="7" t="s">
        <v>77</v>
      </c>
      <c r="F393" s="7" t="s">
        <v>74</v>
      </c>
    </row>
    <row r="394" spans="1:6" x14ac:dyDescent="0.25">
      <c r="A394" s="6" t="s">
        <v>351</v>
      </c>
      <c r="B394" s="7" t="s">
        <v>349</v>
      </c>
      <c r="C394" s="7"/>
      <c r="D394" s="7" t="s">
        <v>352</v>
      </c>
      <c r="E394" s="7" t="s">
        <v>353</v>
      </c>
      <c r="F394" s="7" t="s">
        <v>74</v>
      </c>
    </row>
    <row r="395" spans="1:6" ht="33" x14ac:dyDescent="0.25">
      <c r="A395" s="6" t="s">
        <v>355</v>
      </c>
      <c r="B395" s="7" t="s">
        <v>354</v>
      </c>
      <c r="C395" s="7"/>
      <c r="D395" s="7" t="s">
        <v>356</v>
      </c>
      <c r="E395" s="7" t="s">
        <v>357</v>
      </c>
      <c r="F395" s="7" t="s">
        <v>26</v>
      </c>
    </row>
    <row r="396" spans="1:6" ht="33" x14ac:dyDescent="0.25">
      <c r="A396" s="6" t="s">
        <v>188</v>
      </c>
      <c r="B396" s="7" t="s">
        <v>189</v>
      </c>
      <c r="C396" s="7" t="s">
        <v>113</v>
      </c>
      <c r="D396" s="7" t="s">
        <v>184</v>
      </c>
      <c r="E396" s="7" t="s">
        <v>187</v>
      </c>
      <c r="F396" s="7" t="s">
        <v>26</v>
      </c>
    </row>
    <row r="397" spans="1:6" ht="33" x14ac:dyDescent="0.25">
      <c r="A397" s="6" t="s">
        <v>1531</v>
      </c>
      <c r="B397" s="7" t="s">
        <v>1532</v>
      </c>
      <c r="C397" s="7"/>
      <c r="D397" s="7" t="s">
        <v>1533</v>
      </c>
      <c r="E397" s="7" t="s">
        <v>1534</v>
      </c>
      <c r="F397" s="7" t="s">
        <v>26</v>
      </c>
    </row>
    <row r="398" spans="1:6" ht="33" x14ac:dyDescent="0.25">
      <c r="A398" s="6" t="s">
        <v>1456</v>
      </c>
      <c r="B398" s="7" t="s">
        <v>1457</v>
      </c>
      <c r="C398" s="7" t="s">
        <v>146</v>
      </c>
      <c r="D398" s="7" t="s">
        <v>356</v>
      </c>
      <c r="E398" s="7" t="s">
        <v>1458</v>
      </c>
      <c r="F398" s="7" t="s">
        <v>26</v>
      </c>
    </row>
    <row r="399" spans="1:6" ht="33" x14ac:dyDescent="0.25">
      <c r="A399" s="6" t="s">
        <v>158</v>
      </c>
      <c r="B399" s="7" t="s">
        <v>159</v>
      </c>
      <c r="C399" s="7"/>
      <c r="D399" s="7" t="s">
        <v>156</v>
      </c>
      <c r="E399" s="7" t="s">
        <v>157</v>
      </c>
      <c r="F399" s="7" t="s">
        <v>145</v>
      </c>
    </row>
    <row r="400" spans="1:6" ht="33" x14ac:dyDescent="0.25">
      <c r="A400" s="6" t="s">
        <v>2490</v>
      </c>
      <c r="B400" s="7" t="s">
        <v>2491</v>
      </c>
      <c r="C400" s="7"/>
      <c r="D400" s="7" t="s">
        <v>1543</v>
      </c>
      <c r="E400" s="7" t="s">
        <v>2492</v>
      </c>
      <c r="F400" s="7" t="s">
        <v>74</v>
      </c>
    </row>
    <row r="401" spans="1:6" ht="33" x14ac:dyDescent="0.25">
      <c r="A401" s="6" t="s">
        <v>2519</v>
      </c>
      <c r="B401" s="7" t="s">
        <v>2520</v>
      </c>
      <c r="C401" s="7"/>
      <c r="D401" s="7" t="s">
        <v>2521</v>
      </c>
      <c r="E401" s="7" t="s">
        <v>2522</v>
      </c>
      <c r="F401" s="7" t="s">
        <v>145</v>
      </c>
    </row>
    <row r="402" spans="1:6" x14ac:dyDescent="0.25">
      <c r="A402" s="6" t="s">
        <v>1837</v>
      </c>
      <c r="B402" s="7" t="s">
        <v>1838</v>
      </c>
      <c r="C402" s="7"/>
      <c r="D402" s="7" t="s">
        <v>94</v>
      </c>
      <c r="E402" s="7" t="s">
        <v>1839</v>
      </c>
      <c r="F402" s="7" t="s">
        <v>74</v>
      </c>
    </row>
    <row r="403" spans="1:6" ht="33" x14ac:dyDescent="0.25">
      <c r="A403" s="6" t="s">
        <v>862</v>
      </c>
      <c r="B403" s="7" t="s">
        <v>861</v>
      </c>
      <c r="C403" s="7"/>
      <c r="D403" s="7" t="s">
        <v>863</v>
      </c>
      <c r="E403" s="7" t="s">
        <v>864</v>
      </c>
      <c r="F403" s="7" t="s">
        <v>13</v>
      </c>
    </row>
    <row r="404" spans="1:6" ht="33" x14ac:dyDescent="0.25">
      <c r="A404" s="6" t="s">
        <v>866</v>
      </c>
      <c r="B404" s="7" t="s">
        <v>865</v>
      </c>
      <c r="C404" s="7"/>
      <c r="D404" s="7" t="s">
        <v>867</v>
      </c>
      <c r="E404" s="7" t="s">
        <v>868</v>
      </c>
      <c r="F404" s="7" t="s">
        <v>13</v>
      </c>
    </row>
    <row r="405" spans="1:6" x14ac:dyDescent="0.25">
      <c r="A405" s="6" t="s">
        <v>359</v>
      </c>
      <c r="B405" s="7" t="s">
        <v>358</v>
      </c>
      <c r="C405" s="7"/>
      <c r="D405" s="7" t="s">
        <v>360</v>
      </c>
      <c r="E405" s="7" t="s">
        <v>361</v>
      </c>
      <c r="F405" s="7" t="s">
        <v>74</v>
      </c>
    </row>
    <row r="406" spans="1:6" ht="33" x14ac:dyDescent="0.25">
      <c r="A406" s="6" t="s">
        <v>1002</v>
      </c>
      <c r="B406" s="7" t="s">
        <v>1003</v>
      </c>
      <c r="C406" s="7"/>
      <c r="D406" s="7" t="s">
        <v>1004</v>
      </c>
      <c r="E406" s="7" t="s">
        <v>1005</v>
      </c>
      <c r="F406" s="7" t="s">
        <v>26</v>
      </c>
    </row>
    <row r="407" spans="1:6" ht="49.5" x14ac:dyDescent="0.25">
      <c r="A407" s="6" t="s">
        <v>2424</v>
      </c>
      <c r="B407" s="7" t="s">
        <v>2425</v>
      </c>
      <c r="C407" s="7"/>
      <c r="D407" s="7" t="s">
        <v>2426</v>
      </c>
      <c r="E407" s="7" t="s">
        <v>2427</v>
      </c>
      <c r="F407" s="7" t="s">
        <v>2428</v>
      </c>
    </row>
    <row r="408" spans="1:6" ht="49.5" x14ac:dyDescent="0.25">
      <c r="A408" s="6" t="s">
        <v>363</v>
      </c>
      <c r="B408" s="7" t="s">
        <v>362</v>
      </c>
      <c r="C408" s="7"/>
      <c r="D408" s="7" t="s">
        <v>364</v>
      </c>
      <c r="E408" s="7" t="s">
        <v>365</v>
      </c>
      <c r="F408" s="7" t="s">
        <v>145</v>
      </c>
    </row>
    <row r="409" spans="1:6" ht="33" x14ac:dyDescent="0.25">
      <c r="A409" s="6" t="s">
        <v>227</v>
      </c>
      <c r="B409" s="7" t="s">
        <v>228</v>
      </c>
      <c r="C409" s="7"/>
      <c r="D409" s="7" t="s">
        <v>226</v>
      </c>
      <c r="E409" s="7" t="s">
        <v>224</v>
      </c>
      <c r="F409" s="7" t="s">
        <v>225</v>
      </c>
    </row>
    <row r="410" spans="1:6" ht="33" x14ac:dyDescent="0.25">
      <c r="A410" s="6" t="s">
        <v>367</v>
      </c>
      <c r="B410" s="7" t="s">
        <v>366</v>
      </c>
      <c r="C410" s="7"/>
      <c r="D410" s="7" t="s">
        <v>368</v>
      </c>
      <c r="E410" s="7" t="s">
        <v>369</v>
      </c>
      <c r="F410" s="7" t="s">
        <v>225</v>
      </c>
    </row>
    <row r="411" spans="1:6" x14ac:dyDescent="0.25">
      <c r="A411" s="6" t="s">
        <v>870</v>
      </c>
      <c r="B411" s="7" t="s">
        <v>869</v>
      </c>
      <c r="C411" s="7"/>
      <c r="D411" s="7" t="s">
        <v>871</v>
      </c>
      <c r="E411" s="7" t="s">
        <v>872</v>
      </c>
      <c r="F411" s="7" t="s">
        <v>74</v>
      </c>
    </row>
    <row r="412" spans="1:6" ht="33" x14ac:dyDescent="0.25">
      <c r="A412" s="8" t="s">
        <v>2593</v>
      </c>
      <c r="B412" s="9" t="s">
        <v>2594</v>
      </c>
      <c r="C412" s="9"/>
      <c r="D412" s="9" t="s">
        <v>2525</v>
      </c>
      <c r="E412" s="9" t="s">
        <v>2595</v>
      </c>
      <c r="F412" s="9" t="s">
        <v>57</v>
      </c>
    </row>
    <row r="413" spans="1:6" ht="33" x14ac:dyDescent="0.25">
      <c r="A413" s="6" t="s">
        <v>1520</v>
      </c>
      <c r="B413" s="7" t="s">
        <v>1521</v>
      </c>
      <c r="C413" s="7"/>
      <c r="D413" s="7" t="s">
        <v>94</v>
      </c>
      <c r="E413" s="7" t="s">
        <v>1522</v>
      </c>
      <c r="F413" s="7" t="s">
        <v>74</v>
      </c>
    </row>
    <row r="414" spans="1:6" ht="49.5" x14ac:dyDescent="0.25">
      <c r="A414" s="6" t="s">
        <v>2527</v>
      </c>
      <c r="B414" s="7" t="s">
        <v>2528</v>
      </c>
      <c r="C414" s="7"/>
      <c r="D414" s="7" t="s">
        <v>1543</v>
      </c>
      <c r="E414" s="7" t="s">
        <v>2529</v>
      </c>
      <c r="F414" s="7" t="s">
        <v>1789</v>
      </c>
    </row>
    <row r="415" spans="1:6" ht="33" x14ac:dyDescent="0.25">
      <c r="A415" s="6" t="s">
        <v>1512</v>
      </c>
      <c r="B415" s="7" t="s">
        <v>1513</v>
      </c>
      <c r="C415" s="7"/>
      <c r="D415" s="7" t="s">
        <v>1514</v>
      </c>
      <c r="E415" s="7" t="s">
        <v>1515</v>
      </c>
      <c r="F415" s="7" t="s">
        <v>1516</v>
      </c>
    </row>
    <row r="416" spans="1:6" ht="49.5" x14ac:dyDescent="0.25">
      <c r="A416" s="6" t="s">
        <v>2515</v>
      </c>
      <c r="B416" s="7" t="s">
        <v>2516</v>
      </c>
      <c r="C416" s="7"/>
      <c r="D416" s="7" t="s">
        <v>2517</v>
      </c>
      <c r="E416" s="7" t="s">
        <v>2518</v>
      </c>
      <c r="F416" s="7" t="s">
        <v>57</v>
      </c>
    </row>
    <row r="417" spans="1:6" ht="33" x14ac:dyDescent="0.25">
      <c r="A417" s="6" t="s">
        <v>372</v>
      </c>
      <c r="B417" s="7" t="s">
        <v>371</v>
      </c>
      <c r="C417" s="7" t="s">
        <v>151</v>
      </c>
      <c r="D417" s="7" t="s">
        <v>373</v>
      </c>
      <c r="E417" s="7" t="s">
        <v>374</v>
      </c>
      <c r="F417" s="7" t="s">
        <v>145</v>
      </c>
    </row>
    <row r="418" spans="1:6" ht="33" x14ac:dyDescent="0.25">
      <c r="A418" s="6" t="s">
        <v>376</v>
      </c>
      <c r="B418" s="7" t="s">
        <v>375</v>
      </c>
      <c r="C418" s="7"/>
      <c r="D418" s="7" t="s">
        <v>377</v>
      </c>
      <c r="E418" s="7" t="s">
        <v>378</v>
      </c>
      <c r="F418" s="7" t="s">
        <v>145</v>
      </c>
    </row>
    <row r="419" spans="1:6" ht="49.5" x14ac:dyDescent="0.25">
      <c r="A419" s="6" t="s">
        <v>584</v>
      </c>
      <c r="B419" s="7" t="s">
        <v>583</v>
      </c>
      <c r="C419" s="7"/>
      <c r="D419" s="7" t="s">
        <v>27</v>
      </c>
      <c r="E419" s="7" t="s">
        <v>585</v>
      </c>
      <c r="F419" s="7" t="s">
        <v>26</v>
      </c>
    </row>
    <row r="420" spans="1:6" ht="66" x14ac:dyDescent="0.25">
      <c r="A420" s="6" t="s">
        <v>874</v>
      </c>
      <c r="B420" s="7" t="s">
        <v>873</v>
      </c>
      <c r="C420" s="7"/>
      <c r="D420" s="7" t="s">
        <v>875</v>
      </c>
      <c r="E420" s="7" t="s">
        <v>876</v>
      </c>
      <c r="F420" s="7" t="s">
        <v>145</v>
      </c>
    </row>
    <row r="421" spans="1:6" ht="33" x14ac:dyDescent="0.25">
      <c r="A421" s="6" t="s">
        <v>185</v>
      </c>
      <c r="B421" s="7" t="s">
        <v>186</v>
      </c>
      <c r="C421" s="7"/>
      <c r="D421" s="7" t="s">
        <v>184</v>
      </c>
      <c r="E421" s="7" t="s">
        <v>183</v>
      </c>
      <c r="F421" s="7" t="s">
        <v>145</v>
      </c>
    </row>
    <row r="422" spans="1:6" x14ac:dyDescent="0.25">
      <c r="A422" s="6" t="s">
        <v>103</v>
      </c>
      <c r="B422" s="7" t="s">
        <v>104</v>
      </c>
      <c r="C422" s="7"/>
      <c r="D422" s="7" t="s">
        <v>102</v>
      </c>
      <c r="E422" s="7" t="s">
        <v>101</v>
      </c>
      <c r="F422" s="7" t="s">
        <v>74</v>
      </c>
    </row>
    <row r="423" spans="1:6" ht="33" x14ac:dyDescent="0.25">
      <c r="A423" s="6" t="s">
        <v>1498</v>
      </c>
      <c r="B423" s="7" t="s">
        <v>1499</v>
      </c>
      <c r="C423" s="7"/>
      <c r="D423" s="7" t="s">
        <v>1500</v>
      </c>
      <c r="E423" s="7" t="s">
        <v>1501</v>
      </c>
      <c r="F423" s="7" t="s">
        <v>74</v>
      </c>
    </row>
    <row r="424" spans="1:6" ht="33" x14ac:dyDescent="0.25">
      <c r="A424" s="6" t="s">
        <v>1470</v>
      </c>
      <c r="B424" s="7" t="s">
        <v>1471</v>
      </c>
      <c r="C424" s="7" t="s">
        <v>155</v>
      </c>
      <c r="D424" s="7" t="s">
        <v>1472</v>
      </c>
      <c r="E424" s="7" t="s">
        <v>1473</v>
      </c>
      <c r="F424" s="7" t="s">
        <v>26</v>
      </c>
    </row>
    <row r="425" spans="1:6" ht="33" x14ac:dyDescent="0.25">
      <c r="A425" s="6" t="s">
        <v>975</v>
      </c>
      <c r="B425" s="7" t="s">
        <v>976</v>
      </c>
      <c r="C425" s="7"/>
      <c r="D425" s="7" t="s">
        <v>977</v>
      </c>
      <c r="E425" s="7" t="s">
        <v>978</v>
      </c>
      <c r="F425" s="7" t="s">
        <v>26</v>
      </c>
    </row>
    <row r="426" spans="1:6" ht="33" x14ac:dyDescent="0.25">
      <c r="A426" s="6" t="s">
        <v>2473</v>
      </c>
      <c r="B426" s="7" t="s">
        <v>2474</v>
      </c>
      <c r="C426" s="7"/>
      <c r="D426" s="7" t="s">
        <v>2475</v>
      </c>
      <c r="E426" s="7" t="s">
        <v>2476</v>
      </c>
      <c r="F426" s="7" t="s">
        <v>145</v>
      </c>
    </row>
    <row r="427" spans="1:6" ht="33" x14ac:dyDescent="0.25">
      <c r="A427" s="6" t="s">
        <v>1523</v>
      </c>
      <c r="B427" s="7" t="s">
        <v>1524</v>
      </c>
      <c r="C427" s="7"/>
      <c r="D427" s="7" t="s">
        <v>1525</v>
      </c>
      <c r="E427" s="7" t="s">
        <v>1526</v>
      </c>
      <c r="F427" s="7" t="s">
        <v>74</v>
      </c>
    </row>
    <row r="428" spans="1:6" ht="66" x14ac:dyDescent="0.25">
      <c r="A428" s="6" t="s">
        <v>878</v>
      </c>
      <c r="B428" s="7" t="s">
        <v>877</v>
      </c>
      <c r="C428" s="7"/>
      <c r="D428" s="7" t="s">
        <v>879</v>
      </c>
      <c r="E428" s="7" t="s">
        <v>880</v>
      </c>
      <c r="F428" s="7" t="s">
        <v>13</v>
      </c>
    </row>
    <row r="429" spans="1:6" ht="33" x14ac:dyDescent="0.25">
      <c r="A429" s="6" t="s">
        <v>1459</v>
      </c>
      <c r="B429" s="7" t="s">
        <v>1460</v>
      </c>
      <c r="C429" s="7"/>
      <c r="D429" s="7" t="s">
        <v>1461</v>
      </c>
      <c r="E429" s="7" t="s">
        <v>1462</v>
      </c>
      <c r="F429" s="7" t="s">
        <v>26</v>
      </c>
    </row>
    <row r="430" spans="1:6" ht="33" x14ac:dyDescent="0.25">
      <c r="A430" s="6" t="s">
        <v>2429</v>
      </c>
      <c r="B430" s="7" t="s">
        <v>2430</v>
      </c>
      <c r="C430" s="7"/>
      <c r="D430" s="7" t="s">
        <v>2431</v>
      </c>
      <c r="E430" s="7" t="s">
        <v>2432</v>
      </c>
      <c r="F430" s="7" t="s">
        <v>74</v>
      </c>
    </row>
    <row r="431" spans="1:6" ht="49.5" x14ac:dyDescent="0.25">
      <c r="A431" s="6" t="s">
        <v>380</v>
      </c>
      <c r="B431" s="7" t="s">
        <v>379</v>
      </c>
      <c r="C431" s="7" t="s">
        <v>381</v>
      </c>
      <c r="D431" s="7" t="s">
        <v>382</v>
      </c>
      <c r="E431" s="7" t="s">
        <v>383</v>
      </c>
      <c r="F431" s="7" t="s">
        <v>145</v>
      </c>
    </row>
    <row r="432" spans="1:6" ht="33" x14ac:dyDescent="0.25">
      <c r="A432" s="6" t="s">
        <v>385</v>
      </c>
      <c r="B432" s="7" t="s">
        <v>384</v>
      </c>
      <c r="C432" s="7" t="s">
        <v>155</v>
      </c>
      <c r="D432" s="7" t="s">
        <v>386</v>
      </c>
      <c r="E432" s="7" t="s">
        <v>387</v>
      </c>
      <c r="F432" s="7" t="s">
        <v>57</v>
      </c>
    </row>
    <row r="433" spans="1:6" ht="33" x14ac:dyDescent="0.25">
      <c r="A433" s="6" t="s">
        <v>389</v>
      </c>
      <c r="B433" s="7" t="s">
        <v>388</v>
      </c>
      <c r="C433" s="7" t="s">
        <v>151</v>
      </c>
      <c r="D433" s="7" t="s">
        <v>390</v>
      </c>
      <c r="E433" s="7" t="s">
        <v>391</v>
      </c>
      <c r="F433" s="7" t="s">
        <v>26</v>
      </c>
    </row>
    <row r="434" spans="1:6" ht="33" x14ac:dyDescent="0.25">
      <c r="A434" s="6" t="s">
        <v>1448</v>
      </c>
      <c r="B434" s="7" t="s">
        <v>1449</v>
      </c>
      <c r="C434" s="7" t="s">
        <v>155</v>
      </c>
      <c r="D434" s="7" t="s">
        <v>1450</v>
      </c>
      <c r="E434" s="7" t="s">
        <v>1451</v>
      </c>
      <c r="F434" s="7" t="s">
        <v>26</v>
      </c>
    </row>
    <row r="435" spans="1:6" ht="33" x14ac:dyDescent="0.25">
      <c r="A435" s="6" t="s">
        <v>107</v>
      </c>
      <c r="B435" s="7" t="s">
        <v>108</v>
      </c>
      <c r="C435" s="7"/>
      <c r="D435" s="7" t="s">
        <v>106</v>
      </c>
      <c r="E435" s="7" t="s">
        <v>105</v>
      </c>
      <c r="F435" s="7" t="s">
        <v>74</v>
      </c>
    </row>
    <row r="436" spans="1:6" ht="49.5" x14ac:dyDescent="0.25">
      <c r="A436" s="6" t="s">
        <v>2463</v>
      </c>
      <c r="B436" s="7" t="s">
        <v>2464</v>
      </c>
      <c r="C436" s="7"/>
      <c r="D436" s="7" t="s">
        <v>2431</v>
      </c>
      <c r="E436" s="7" t="s">
        <v>2465</v>
      </c>
      <c r="F436" s="7" t="s">
        <v>74</v>
      </c>
    </row>
    <row r="437" spans="1:6" ht="33" x14ac:dyDescent="0.25">
      <c r="A437" s="6" t="s">
        <v>1467</v>
      </c>
      <c r="B437" s="7" t="s">
        <v>1468</v>
      </c>
      <c r="C437" s="7"/>
      <c r="D437" s="7" t="s">
        <v>581</v>
      </c>
      <c r="E437" s="7" t="s">
        <v>1469</v>
      </c>
      <c r="F437" s="7" t="s">
        <v>57</v>
      </c>
    </row>
    <row r="438" spans="1:6" ht="49.5" x14ac:dyDescent="0.25">
      <c r="A438" s="6" t="s">
        <v>91</v>
      </c>
      <c r="B438" s="7" t="s">
        <v>92</v>
      </c>
      <c r="C438" s="7" t="s">
        <v>90</v>
      </c>
      <c r="D438" s="7" t="s">
        <v>27</v>
      </c>
      <c r="E438" s="7" t="s">
        <v>1436</v>
      </c>
      <c r="F438" s="7" t="s">
        <v>74</v>
      </c>
    </row>
    <row r="439" spans="1:6" ht="33" x14ac:dyDescent="0.25">
      <c r="A439" s="6" t="s">
        <v>222</v>
      </c>
      <c r="B439" s="7" t="s">
        <v>223</v>
      </c>
      <c r="C439" s="7"/>
      <c r="D439" s="7" t="s">
        <v>221</v>
      </c>
      <c r="E439" s="7" t="s">
        <v>220</v>
      </c>
      <c r="F439" s="7" t="s">
        <v>13</v>
      </c>
    </row>
    <row r="440" spans="1:6" ht="33" x14ac:dyDescent="0.25">
      <c r="A440" s="6" t="s">
        <v>171</v>
      </c>
      <c r="B440" s="7" t="s">
        <v>172</v>
      </c>
      <c r="C440" s="7"/>
      <c r="D440" s="7" t="s">
        <v>170</v>
      </c>
      <c r="E440" s="7" t="s">
        <v>173</v>
      </c>
      <c r="F440" s="7" t="s">
        <v>57</v>
      </c>
    </row>
    <row r="441" spans="1:6" ht="33" x14ac:dyDescent="0.25">
      <c r="A441" s="6" t="s">
        <v>2482</v>
      </c>
      <c r="B441" s="7" t="s">
        <v>2483</v>
      </c>
      <c r="C441" s="7"/>
      <c r="D441" s="7" t="s">
        <v>2484</v>
      </c>
      <c r="E441" s="7" t="s">
        <v>2485</v>
      </c>
      <c r="F441" s="7" t="s">
        <v>74</v>
      </c>
    </row>
    <row r="442" spans="1:6" ht="49.5" x14ac:dyDescent="0.25">
      <c r="A442" s="6" t="s">
        <v>587</v>
      </c>
      <c r="B442" s="7" t="s">
        <v>586</v>
      </c>
      <c r="C442" s="7"/>
      <c r="D442" s="7" t="s">
        <v>588</v>
      </c>
      <c r="E442" s="7" t="s">
        <v>589</v>
      </c>
      <c r="F442" s="7" t="s">
        <v>13</v>
      </c>
    </row>
    <row r="443" spans="1:6" ht="33" x14ac:dyDescent="0.25">
      <c r="A443" s="6" t="s">
        <v>1409</v>
      </c>
      <c r="B443" s="7" t="s">
        <v>1410</v>
      </c>
      <c r="C443" s="7"/>
      <c r="D443" s="7" t="s">
        <v>1411</v>
      </c>
      <c r="E443" s="7" t="s">
        <v>1412</v>
      </c>
      <c r="F443" s="7" t="s">
        <v>13</v>
      </c>
    </row>
    <row r="444" spans="1:6" ht="33" x14ac:dyDescent="0.25">
      <c r="A444" s="6" t="s">
        <v>1541</v>
      </c>
      <c r="B444" s="7" t="s">
        <v>1542</v>
      </c>
      <c r="C444" s="7"/>
      <c r="D444" s="7" t="s">
        <v>1543</v>
      </c>
      <c r="E444" s="7" t="s">
        <v>1544</v>
      </c>
      <c r="F444" s="7" t="s">
        <v>46</v>
      </c>
    </row>
    <row r="445" spans="1:6" ht="49.5" x14ac:dyDescent="0.25">
      <c r="A445" s="6" t="s">
        <v>2439</v>
      </c>
      <c r="B445" s="7" t="s">
        <v>2440</v>
      </c>
      <c r="C445" s="7"/>
      <c r="D445" s="7" t="s">
        <v>2441</v>
      </c>
      <c r="E445" s="7" t="s">
        <v>2442</v>
      </c>
      <c r="F445" s="7" t="s">
        <v>74</v>
      </c>
    </row>
    <row r="446" spans="1:6" ht="49.5" x14ac:dyDescent="0.25">
      <c r="A446" s="6" t="s">
        <v>2535</v>
      </c>
      <c r="B446" s="7" t="s">
        <v>2536</v>
      </c>
      <c r="C446" s="7" t="s">
        <v>2537</v>
      </c>
      <c r="D446" s="7" t="s">
        <v>2538</v>
      </c>
      <c r="E446" s="7" t="s">
        <v>2539</v>
      </c>
      <c r="F446" s="7" t="s">
        <v>74</v>
      </c>
    </row>
    <row r="447" spans="1:6" x14ac:dyDescent="0.25">
      <c r="A447" s="6" t="s">
        <v>1486</v>
      </c>
      <c r="B447" s="7" t="s">
        <v>1487</v>
      </c>
      <c r="C447" s="7"/>
      <c r="D447" s="7" t="s">
        <v>1488</v>
      </c>
      <c r="E447" s="7" t="s">
        <v>1489</v>
      </c>
      <c r="F447" s="7" t="s">
        <v>74</v>
      </c>
    </row>
    <row r="448" spans="1:6" ht="33" x14ac:dyDescent="0.25">
      <c r="A448" s="6" t="s">
        <v>1478</v>
      </c>
      <c r="B448" s="7" t="s">
        <v>1479</v>
      </c>
      <c r="C448" s="7"/>
      <c r="D448" s="7" t="s">
        <v>1480</v>
      </c>
      <c r="E448" s="7" t="s">
        <v>1481</v>
      </c>
      <c r="F448" s="7" t="s">
        <v>57</v>
      </c>
    </row>
    <row r="449" spans="1:6" ht="33" x14ac:dyDescent="0.25">
      <c r="A449" s="6" t="s">
        <v>2523</v>
      </c>
      <c r="B449" s="7" t="s">
        <v>2524</v>
      </c>
      <c r="C449" s="7"/>
      <c r="D449" s="7" t="s">
        <v>2525</v>
      </c>
      <c r="E449" s="7" t="s">
        <v>2526</v>
      </c>
      <c r="F449" s="7" t="s">
        <v>74</v>
      </c>
    </row>
    <row r="450" spans="1:6" ht="33" x14ac:dyDescent="0.25">
      <c r="A450" s="6" t="s">
        <v>54</v>
      </c>
      <c r="B450" s="7" t="s">
        <v>55</v>
      </c>
      <c r="C450" s="7"/>
      <c r="D450" s="7" t="s">
        <v>50</v>
      </c>
      <c r="E450" s="7" t="s">
        <v>53</v>
      </c>
      <c r="F450" s="7" t="s">
        <v>26</v>
      </c>
    </row>
    <row r="451" spans="1:6" ht="33" x14ac:dyDescent="0.25">
      <c r="A451" s="6" t="s">
        <v>393</v>
      </c>
      <c r="B451" s="7" t="s">
        <v>392</v>
      </c>
      <c r="C451" s="7"/>
      <c r="D451" s="7" t="s">
        <v>394</v>
      </c>
      <c r="E451" s="7" t="s">
        <v>395</v>
      </c>
      <c r="F451" s="7" t="s">
        <v>145</v>
      </c>
    </row>
    <row r="452" spans="1:6" ht="33" x14ac:dyDescent="0.25">
      <c r="A452" s="6" t="s">
        <v>110</v>
      </c>
      <c r="B452" s="7" t="s">
        <v>111</v>
      </c>
      <c r="C452" s="7"/>
      <c r="D452" s="7" t="s">
        <v>27</v>
      </c>
      <c r="E452" s="7" t="s">
        <v>109</v>
      </c>
      <c r="F452" s="7" t="s">
        <v>74</v>
      </c>
    </row>
    <row r="453" spans="1:6" ht="33" x14ac:dyDescent="0.25">
      <c r="A453" s="6" t="s">
        <v>2459</v>
      </c>
      <c r="B453" s="7" t="s">
        <v>2460</v>
      </c>
      <c r="C453" s="7"/>
      <c r="D453" s="7" t="s">
        <v>2461</v>
      </c>
      <c r="E453" s="7" t="s">
        <v>2462</v>
      </c>
      <c r="F453" s="7" t="s">
        <v>74</v>
      </c>
    </row>
    <row r="454" spans="1:6" ht="33" x14ac:dyDescent="0.25">
      <c r="A454" s="6" t="s">
        <v>168</v>
      </c>
      <c r="B454" s="7" t="s">
        <v>169</v>
      </c>
      <c r="C454" s="7"/>
      <c r="D454" s="7" t="s">
        <v>167</v>
      </c>
      <c r="E454" s="7" t="s">
        <v>166</v>
      </c>
      <c r="F454" s="7" t="s">
        <v>57</v>
      </c>
    </row>
    <row r="455" spans="1:6" x14ac:dyDescent="0.25">
      <c r="A455" s="6" t="s">
        <v>1482</v>
      </c>
      <c r="B455" s="7" t="s">
        <v>1483</v>
      </c>
      <c r="C455" s="7"/>
      <c r="D455" s="7" t="s">
        <v>1484</v>
      </c>
      <c r="E455" s="7" t="s">
        <v>1485</v>
      </c>
      <c r="F455" s="7" t="s">
        <v>74</v>
      </c>
    </row>
    <row r="456" spans="1:6" ht="33" x14ac:dyDescent="0.25">
      <c r="A456" s="6" t="s">
        <v>130</v>
      </c>
      <c r="B456" s="7" t="s">
        <v>131</v>
      </c>
      <c r="C456" s="7"/>
      <c r="D456" s="7" t="s">
        <v>129</v>
      </c>
      <c r="E456" s="7" t="s">
        <v>128</v>
      </c>
      <c r="F456" s="7" t="s">
        <v>117</v>
      </c>
    </row>
    <row r="457" spans="1:6" ht="33" x14ac:dyDescent="0.25">
      <c r="A457" s="6" t="s">
        <v>99</v>
      </c>
      <c r="B457" s="7" t="s">
        <v>100</v>
      </c>
      <c r="C457" s="7" t="s">
        <v>98</v>
      </c>
      <c r="D457" s="7" t="s">
        <v>62</v>
      </c>
      <c r="E457" s="7" t="s">
        <v>97</v>
      </c>
      <c r="F457" s="7" t="s">
        <v>74</v>
      </c>
    </row>
    <row r="458" spans="1:6" ht="33" x14ac:dyDescent="0.25">
      <c r="A458" s="6" t="s">
        <v>179</v>
      </c>
      <c r="B458" s="7" t="s">
        <v>180</v>
      </c>
      <c r="C458" s="7"/>
      <c r="D458" s="7" t="s">
        <v>178</v>
      </c>
      <c r="E458" s="7" t="s">
        <v>176</v>
      </c>
      <c r="F458" s="7" t="s">
        <v>177</v>
      </c>
    </row>
    <row r="459" spans="1:6" ht="49.5" x14ac:dyDescent="0.25">
      <c r="A459" s="6" t="s">
        <v>882</v>
      </c>
      <c r="B459" s="7" t="s">
        <v>881</v>
      </c>
      <c r="C459" s="7"/>
      <c r="D459" s="7" t="s">
        <v>883</v>
      </c>
      <c r="E459" s="7" t="s">
        <v>884</v>
      </c>
      <c r="F459" s="7" t="s">
        <v>57</v>
      </c>
    </row>
    <row r="460" spans="1:6" ht="33" x14ac:dyDescent="0.25">
      <c r="A460" s="6" t="s">
        <v>153</v>
      </c>
      <c r="B460" s="7" t="s">
        <v>154</v>
      </c>
      <c r="C460" s="7" t="s">
        <v>151</v>
      </c>
      <c r="D460" s="7" t="s">
        <v>152</v>
      </c>
      <c r="E460" s="7" t="s">
        <v>150</v>
      </c>
      <c r="F460" s="7" t="s">
        <v>145</v>
      </c>
    </row>
    <row r="461" spans="1:6" ht="33" x14ac:dyDescent="0.25">
      <c r="A461" s="6" t="s">
        <v>397</v>
      </c>
      <c r="B461" s="7" t="s">
        <v>396</v>
      </c>
      <c r="C461" s="7"/>
      <c r="D461" s="7" t="s">
        <v>398</v>
      </c>
      <c r="E461" s="7" t="s">
        <v>399</v>
      </c>
      <c r="F461" s="7" t="s">
        <v>13</v>
      </c>
    </row>
    <row r="462" spans="1:6" x14ac:dyDescent="0.25">
      <c r="A462" s="6" t="s">
        <v>401</v>
      </c>
      <c r="B462" s="7" t="s">
        <v>400</v>
      </c>
      <c r="C462" s="7"/>
      <c r="D462" s="7" t="s">
        <v>402</v>
      </c>
      <c r="E462" s="7" t="s">
        <v>403</v>
      </c>
      <c r="F462" s="7" t="s">
        <v>404</v>
      </c>
    </row>
    <row r="463" spans="1:6" ht="33" x14ac:dyDescent="0.25">
      <c r="A463" s="6" t="s">
        <v>2493</v>
      </c>
      <c r="B463" s="7" t="s">
        <v>2494</v>
      </c>
      <c r="C463" s="7" t="s">
        <v>2495</v>
      </c>
      <c r="D463" s="7" t="s">
        <v>2496</v>
      </c>
      <c r="E463" s="7" t="s">
        <v>2497</v>
      </c>
      <c r="F463" s="7" t="s">
        <v>74</v>
      </c>
    </row>
    <row r="464" spans="1:6" ht="33" x14ac:dyDescent="0.25">
      <c r="A464" s="6" t="s">
        <v>406</v>
      </c>
      <c r="B464" s="7" t="s">
        <v>405</v>
      </c>
      <c r="C464" s="7" t="s">
        <v>155</v>
      </c>
      <c r="D464" s="7" t="s">
        <v>2449</v>
      </c>
      <c r="E464" s="7" t="s">
        <v>2450</v>
      </c>
      <c r="F464" s="7" t="s">
        <v>26</v>
      </c>
    </row>
    <row r="465" spans="1:6" ht="33" x14ac:dyDescent="0.25">
      <c r="A465" s="6" t="s">
        <v>408</v>
      </c>
      <c r="B465" s="7" t="s">
        <v>407</v>
      </c>
      <c r="C465" s="7"/>
      <c r="D465" s="7" t="s">
        <v>409</v>
      </c>
      <c r="E465" s="7" t="s">
        <v>410</v>
      </c>
      <c r="F465" s="7" t="s">
        <v>74</v>
      </c>
    </row>
    <row r="466" spans="1:6" ht="33" x14ac:dyDescent="0.25">
      <c r="A466" s="6" t="s">
        <v>412</v>
      </c>
      <c r="B466" s="7" t="s">
        <v>411</v>
      </c>
      <c r="C466" s="7" t="s">
        <v>151</v>
      </c>
      <c r="D466" s="7" t="s">
        <v>413</v>
      </c>
      <c r="E466" s="7" t="s">
        <v>414</v>
      </c>
      <c r="F466" s="7" t="s">
        <v>415</v>
      </c>
    </row>
    <row r="467" spans="1:6" ht="33" x14ac:dyDescent="0.25">
      <c r="A467" s="6" t="s">
        <v>591</v>
      </c>
      <c r="B467" s="7" t="s">
        <v>590</v>
      </c>
      <c r="C467" s="7"/>
      <c r="D467" s="7" t="s">
        <v>592</v>
      </c>
      <c r="E467" s="7" t="s">
        <v>593</v>
      </c>
      <c r="F467" s="7" t="s">
        <v>13</v>
      </c>
    </row>
    <row r="468" spans="1:6" ht="33" x14ac:dyDescent="0.25">
      <c r="A468" s="6" t="s">
        <v>47</v>
      </c>
      <c r="B468" s="7" t="s">
        <v>48</v>
      </c>
      <c r="C468" s="7"/>
      <c r="D468" s="7" t="s">
        <v>27</v>
      </c>
      <c r="E468" s="7" t="s">
        <v>45</v>
      </c>
      <c r="F468" s="7" t="s">
        <v>46</v>
      </c>
    </row>
    <row r="469" spans="1:6" ht="49.5" x14ac:dyDescent="0.25">
      <c r="A469" s="6" t="s">
        <v>1786</v>
      </c>
      <c r="B469" s="7" t="s">
        <v>48</v>
      </c>
      <c r="C469" s="7"/>
      <c r="D469" s="7" t="s">
        <v>1787</v>
      </c>
      <c r="E469" s="7" t="s">
        <v>1788</v>
      </c>
      <c r="F469" s="7" t="s">
        <v>1789</v>
      </c>
    </row>
    <row r="470" spans="1:6" ht="33" x14ac:dyDescent="0.25">
      <c r="A470" s="6" t="s">
        <v>886</v>
      </c>
      <c r="B470" s="7" t="s">
        <v>885</v>
      </c>
      <c r="C470" s="7"/>
      <c r="D470" s="7" t="s">
        <v>581</v>
      </c>
      <c r="E470" s="7" t="s">
        <v>887</v>
      </c>
      <c r="F470" s="7" t="s">
        <v>145</v>
      </c>
    </row>
    <row r="471" spans="1:6" ht="49.5" x14ac:dyDescent="0.25">
      <c r="A471" s="6" t="s">
        <v>417</v>
      </c>
      <c r="B471" s="7" t="s">
        <v>416</v>
      </c>
      <c r="C471" s="7" t="s">
        <v>418</v>
      </c>
      <c r="D471" s="7" t="s">
        <v>419</v>
      </c>
      <c r="E471" s="7" t="s">
        <v>420</v>
      </c>
      <c r="F471" s="7" t="s">
        <v>74</v>
      </c>
    </row>
    <row r="472" spans="1:6" ht="33" x14ac:dyDescent="0.25">
      <c r="A472" s="8" t="s">
        <v>2590</v>
      </c>
      <c r="B472" s="9" t="s">
        <v>2591</v>
      </c>
      <c r="C472" s="9"/>
      <c r="D472" s="9" t="s">
        <v>1506</v>
      </c>
      <c r="E472" s="9" t="s">
        <v>2592</v>
      </c>
      <c r="F472" s="9" t="s">
        <v>26</v>
      </c>
    </row>
    <row r="473" spans="1:6" ht="33" x14ac:dyDescent="0.25">
      <c r="A473" s="8" t="s">
        <v>2587</v>
      </c>
      <c r="B473" s="9" t="s">
        <v>2588</v>
      </c>
      <c r="C473" s="9"/>
      <c r="D473" s="9" t="s">
        <v>27</v>
      </c>
      <c r="E473" s="9" t="s">
        <v>2589</v>
      </c>
      <c r="F473" s="9" t="s">
        <v>26</v>
      </c>
    </row>
    <row r="474" spans="1:6" ht="33" x14ac:dyDescent="0.25">
      <c r="A474" s="6" t="s">
        <v>51</v>
      </c>
      <c r="B474" s="7" t="s">
        <v>52</v>
      </c>
      <c r="C474" s="7"/>
      <c r="D474" s="7" t="s">
        <v>50</v>
      </c>
      <c r="E474" s="7" t="s">
        <v>49</v>
      </c>
      <c r="F474" s="7" t="s">
        <v>26</v>
      </c>
    </row>
    <row r="475" spans="1:6" ht="33" x14ac:dyDescent="0.25">
      <c r="A475" s="6" t="s">
        <v>422</v>
      </c>
      <c r="B475" s="7" t="s">
        <v>421</v>
      </c>
      <c r="C475" s="7" t="s">
        <v>423</v>
      </c>
      <c r="D475" s="7" t="s">
        <v>424</v>
      </c>
      <c r="E475" s="7" t="s">
        <v>425</v>
      </c>
      <c r="F475" s="7" t="s">
        <v>57</v>
      </c>
    </row>
    <row r="476" spans="1:6" ht="33" x14ac:dyDescent="0.25">
      <c r="A476" s="6" t="s">
        <v>1548</v>
      </c>
      <c r="B476" s="7" t="s">
        <v>1549</v>
      </c>
      <c r="C476" s="7"/>
      <c r="D476" s="7" t="s">
        <v>1550</v>
      </c>
      <c r="E476" s="7" t="s">
        <v>1551</v>
      </c>
      <c r="F476" s="7" t="s">
        <v>13</v>
      </c>
    </row>
    <row r="477" spans="1:6" ht="33" x14ac:dyDescent="0.25">
      <c r="A477" s="6" t="s">
        <v>889</v>
      </c>
      <c r="B477" s="7" t="s">
        <v>888</v>
      </c>
      <c r="C477" s="7"/>
      <c r="D477" s="7" t="s">
        <v>409</v>
      </c>
      <c r="E477" s="7" t="s">
        <v>890</v>
      </c>
      <c r="F477" s="7" t="s">
        <v>74</v>
      </c>
    </row>
    <row r="478" spans="1:6" ht="33" x14ac:dyDescent="0.25">
      <c r="A478" s="6" t="s">
        <v>1494</v>
      </c>
      <c r="B478" s="7" t="s">
        <v>1495</v>
      </c>
      <c r="C478" s="7"/>
      <c r="D478" s="7" t="s">
        <v>1496</v>
      </c>
      <c r="E478" s="7" t="s">
        <v>1497</v>
      </c>
      <c r="F478" s="7" t="s">
        <v>145</v>
      </c>
    </row>
    <row r="479" spans="1:6" ht="33" x14ac:dyDescent="0.25">
      <c r="A479" s="6" t="s">
        <v>15</v>
      </c>
      <c r="B479" s="7" t="s">
        <v>16</v>
      </c>
      <c r="C479" s="7"/>
      <c r="D479" s="7" t="s">
        <v>14</v>
      </c>
      <c r="E479" s="7" t="s">
        <v>12</v>
      </c>
      <c r="F479" s="7" t="s">
        <v>13</v>
      </c>
    </row>
    <row r="480" spans="1:6" ht="66" x14ac:dyDescent="0.25">
      <c r="A480" s="6" t="s">
        <v>2480</v>
      </c>
      <c r="B480" s="7" t="s">
        <v>2481</v>
      </c>
      <c r="C480" s="7"/>
      <c r="D480" s="7" t="s">
        <v>2431</v>
      </c>
      <c r="E480" s="7" t="s">
        <v>1493</v>
      </c>
      <c r="F480" s="7" t="s">
        <v>74</v>
      </c>
    </row>
    <row r="481" spans="1:6" ht="33" x14ac:dyDescent="0.25">
      <c r="A481" s="6" t="s">
        <v>595</v>
      </c>
      <c r="B481" s="7" t="s">
        <v>594</v>
      </c>
      <c r="C481" s="7"/>
      <c r="D481" s="7" t="s">
        <v>596</v>
      </c>
      <c r="E481" s="7" t="s">
        <v>597</v>
      </c>
      <c r="F481" s="7" t="s">
        <v>26</v>
      </c>
    </row>
    <row r="482" spans="1:6" ht="33" x14ac:dyDescent="0.25">
      <c r="A482" s="6" t="s">
        <v>1490</v>
      </c>
      <c r="B482" s="7" t="s">
        <v>1491</v>
      </c>
      <c r="C482" s="7"/>
      <c r="D482" s="7" t="s">
        <v>1492</v>
      </c>
      <c r="E482" s="7" t="s">
        <v>1493</v>
      </c>
      <c r="F482" s="7" t="s">
        <v>74</v>
      </c>
    </row>
    <row r="483" spans="1:6" ht="33" x14ac:dyDescent="0.25">
      <c r="A483" s="6" t="s">
        <v>892</v>
      </c>
      <c r="B483" s="7" t="s">
        <v>891</v>
      </c>
      <c r="C483" s="7" t="s">
        <v>893</v>
      </c>
      <c r="D483" s="7" t="s">
        <v>894</v>
      </c>
      <c r="E483" s="7" t="s">
        <v>895</v>
      </c>
      <c r="F483" s="7" t="s">
        <v>13</v>
      </c>
    </row>
    <row r="484" spans="1:6" x14ac:dyDescent="0.25">
      <c r="A484" s="6" t="s">
        <v>897</v>
      </c>
      <c r="B484" s="7" t="s">
        <v>896</v>
      </c>
      <c r="C484" s="7"/>
      <c r="D484" s="7" t="s">
        <v>898</v>
      </c>
      <c r="E484" s="7" t="s">
        <v>899</v>
      </c>
      <c r="F484" s="7" t="s">
        <v>74</v>
      </c>
    </row>
    <row r="485" spans="1:6" ht="33" x14ac:dyDescent="0.25">
      <c r="A485" s="6" t="s">
        <v>71</v>
      </c>
      <c r="B485" s="7" t="s">
        <v>72</v>
      </c>
      <c r="C485" s="7"/>
      <c r="D485" s="7" t="s">
        <v>70</v>
      </c>
      <c r="E485" s="7" t="s">
        <v>69</v>
      </c>
      <c r="F485" s="7" t="s">
        <v>13</v>
      </c>
    </row>
    <row r="486" spans="1:6" ht="49.5" x14ac:dyDescent="0.25">
      <c r="A486" s="6" t="s">
        <v>28</v>
      </c>
      <c r="B486" s="7" t="s">
        <v>29</v>
      </c>
      <c r="C486" s="7"/>
      <c r="D486" s="7" t="s">
        <v>27</v>
      </c>
      <c r="E486" s="7" t="s">
        <v>25</v>
      </c>
      <c r="F486" s="7" t="s">
        <v>26</v>
      </c>
    </row>
    <row r="487" spans="1:6" ht="33" x14ac:dyDescent="0.25">
      <c r="A487" s="6" t="s">
        <v>1463</v>
      </c>
      <c r="B487" s="7" t="s">
        <v>1464</v>
      </c>
      <c r="C487" s="7"/>
      <c r="D487" s="7" t="s">
        <v>1465</v>
      </c>
      <c r="E487" s="7" t="s">
        <v>1466</v>
      </c>
      <c r="F487" s="7" t="s">
        <v>26</v>
      </c>
    </row>
    <row r="488" spans="1:6" ht="33" x14ac:dyDescent="0.25">
      <c r="A488" s="6" t="s">
        <v>427</v>
      </c>
      <c r="B488" s="7" t="s">
        <v>426</v>
      </c>
      <c r="C488" s="7"/>
      <c r="D488" s="7" t="s">
        <v>428</v>
      </c>
      <c r="E488" s="7" t="s">
        <v>429</v>
      </c>
      <c r="F488" s="7" t="s">
        <v>57</v>
      </c>
    </row>
    <row r="489" spans="1:6" ht="33" x14ac:dyDescent="0.25">
      <c r="A489" s="6" t="s">
        <v>244</v>
      </c>
      <c r="B489" s="7" t="s">
        <v>245</v>
      </c>
      <c r="C489" s="7"/>
      <c r="D489" s="7" t="s">
        <v>243</v>
      </c>
      <c r="E489" s="7" t="s">
        <v>242</v>
      </c>
      <c r="F489" s="7" t="s">
        <v>13</v>
      </c>
    </row>
    <row r="490" spans="1:6" ht="33" x14ac:dyDescent="0.25">
      <c r="A490" s="6" t="s">
        <v>2466</v>
      </c>
      <c r="B490" s="7" t="s">
        <v>2467</v>
      </c>
      <c r="C490" s="7"/>
      <c r="D490" s="7" t="s">
        <v>2468</v>
      </c>
      <c r="E490" s="7" t="s">
        <v>2469</v>
      </c>
      <c r="F490" s="7" t="s">
        <v>145</v>
      </c>
    </row>
    <row r="491" spans="1:6" ht="33" x14ac:dyDescent="0.25">
      <c r="A491" s="6" t="s">
        <v>2486</v>
      </c>
      <c r="B491" s="7" t="s">
        <v>2487</v>
      </c>
      <c r="C491" s="7"/>
      <c r="D491" s="7" t="s">
        <v>2488</v>
      </c>
      <c r="E491" s="7" t="s">
        <v>2489</v>
      </c>
      <c r="F491" s="7" t="s">
        <v>74</v>
      </c>
    </row>
    <row r="492" spans="1:6" x14ac:dyDescent="0.25">
      <c r="A492" s="6" t="s">
        <v>114</v>
      </c>
      <c r="B492" s="7" t="s">
        <v>115</v>
      </c>
      <c r="C492" s="7" t="s">
        <v>113</v>
      </c>
      <c r="D492" s="7" t="s">
        <v>27</v>
      </c>
      <c r="E492" s="7" t="s">
        <v>112</v>
      </c>
      <c r="F492" s="7" t="s">
        <v>74</v>
      </c>
    </row>
    <row r="493" spans="1:6" x14ac:dyDescent="0.25">
      <c r="A493" s="6" t="s">
        <v>1425</v>
      </c>
      <c r="B493" s="7" t="s">
        <v>115</v>
      </c>
      <c r="C493" s="7" t="s">
        <v>113</v>
      </c>
      <c r="D493" s="7" t="s">
        <v>27</v>
      </c>
      <c r="E493" s="7" t="s">
        <v>1426</v>
      </c>
      <c r="F493" s="7" t="s">
        <v>74</v>
      </c>
    </row>
    <row r="494" spans="1:6" ht="33" x14ac:dyDescent="0.25">
      <c r="A494" s="6" t="s">
        <v>2437</v>
      </c>
      <c r="B494" s="7" t="s">
        <v>430</v>
      </c>
      <c r="C494" s="7"/>
      <c r="D494" s="7" t="s">
        <v>1503</v>
      </c>
      <c r="E494" s="7" t="s">
        <v>2438</v>
      </c>
      <c r="F494" s="7" t="s">
        <v>74</v>
      </c>
    </row>
    <row r="495" spans="1:6" ht="33" x14ac:dyDescent="0.25">
      <c r="A495" s="6" t="s">
        <v>432</v>
      </c>
      <c r="B495" s="7" t="s">
        <v>431</v>
      </c>
      <c r="C495" s="7"/>
      <c r="D495" s="7" t="s">
        <v>433</v>
      </c>
      <c r="E495" s="7" t="s">
        <v>434</v>
      </c>
      <c r="F495" s="7" t="s">
        <v>13</v>
      </c>
    </row>
    <row r="496" spans="1:6" ht="33" x14ac:dyDescent="0.25">
      <c r="A496" s="6" t="s">
        <v>436</v>
      </c>
      <c r="B496" s="7" t="s">
        <v>435</v>
      </c>
      <c r="C496" s="7" t="s">
        <v>350</v>
      </c>
      <c r="D496" s="7" t="s">
        <v>437</v>
      </c>
      <c r="E496" s="7" t="s">
        <v>438</v>
      </c>
      <c r="F496" s="7" t="s">
        <v>145</v>
      </c>
    </row>
    <row r="497" spans="1:6" ht="33" x14ac:dyDescent="0.25">
      <c r="A497" s="6" t="s">
        <v>440</v>
      </c>
      <c r="B497" s="7" t="s">
        <v>439</v>
      </c>
      <c r="C497" s="7" t="s">
        <v>441</v>
      </c>
      <c r="D497" s="7" t="s">
        <v>27</v>
      </c>
      <c r="E497" s="7" t="s">
        <v>442</v>
      </c>
      <c r="F497" s="7" t="s">
        <v>145</v>
      </c>
    </row>
    <row r="498" spans="1:6" ht="33" x14ac:dyDescent="0.25">
      <c r="A498" s="6" t="s">
        <v>444</v>
      </c>
      <c r="B498" s="7" t="s">
        <v>443</v>
      </c>
      <c r="C498" s="7"/>
      <c r="D498" s="7" t="s">
        <v>445</v>
      </c>
      <c r="E498" s="7" t="s">
        <v>446</v>
      </c>
      <c r="F498" s="7" t="s">
        <v>13</v>
      </c>
    </row>
    <row r="499" spans="1:6" ht="33" x14ac:dyDescent="0.25">
      <c r="A499" s="6" t="s">
        <v>448</v>
      </c>
      <c r="B499" s="7" t="s">
        <v>447</v>
      </c>
      <c r="C499" s="7" t="s">
        <v>155</v>
      </c>
      <c r="D499" s="7" t="s">
        <v>370</v>
      </c>
      <c r="E499" s="7" t="s">
        <v>449</v>
      </c>
      <c r="F499" s="7" t="s">
        <v>26</v>
      </c>
    </row>
    <row r="500" spans="1:6" ht="33" x14ac:dyDescent="0.25">
      <c r="A500" s="6" t="s">
        <v>450</v>
      </c>
      <c r="B500" s="7" t="s">
        <v>447</v>
      </c>
      <c r="C500" s="7" t="s">
        <v>350</v>
      </c>
      <c r="D500" s="7" t="s">
        <v>370</v>
      </c>
      <c r="E500" s="7" t="s">
        <v>451</v>
      </c>
      <c r="F500" s="7" t="s">
        <v>26</v>
      </c>
    </row>
    <row r="501" spans="1:6" ht="33" x14ac:dyDescent="0.25">
      <c r="A501" s="6" t="s">
        <v>599</v>
      </c>
      <c r="B501" s="7" t="s">
        <v>598</v>
      </c>
      <c r="C501" s="7" t="s">
        <v>113</v>
      </c>
      <c r="D501" s="7" t="s">
        <v>62</v>
      </c>
      <c r="E501" s="7" t="s">
        <v>600</v>
      </c>
      <c r="F501" s="7" t="s">
        <v>26</v>
      </c>
    </row>
    <row r="502" spans="1:6" ht="33" x14ac:dyDescent="0.25">
      <c r="A502" s="6" t="s">
        <v>1452</v>
      </c>
      <c r="B502" s="7" t="s">
        <v>1453</v>
      </c>
      <c r="C502" s="7"/>
      <c r="D502" s="7" t="s">
        <v>1454</v>
      </c>
      <c r="E502" s="7" t="s">
        <v>1455</v>
      </c>
      <c r="F502" s="7" t="s">
        <v>13</v>
      </c>
    </row>
    <row r="503" spans="1:6" ht="33" x14ac:dyDescent="0.25">
      <c r="A503" s="6" t="s">
        <v>971</v>
      </c>
      <c r="B503" s="7" t="s">
        <v>972</v>
      </c>
      <c r="C503" s="7"/>
      <c r="D503" s="7" t="s">
        <v>973</v>
      </c>
      <c r="E503" s="7" t="s">
        <v>974</v>
      </c>
      <c r="F503" s="7" t="s">
        <v>13</v>
      </c>
    </row>
    <row r="504" spans="1:6" ht="33" x14ac:dyDescent="0.25">
      <c r="A504" s="6" t="s">
        <v>192</v>
      </c>
      <c r="B504" s="7" t="s">
        <v>193</v>
      </c>
      <c r="C504" s="7"/>
      <c r="D504" s="7" t="s">
        <v>191</v>
      </c>
      <c r="E504" s="7" t="s">
        <v>190</v>
      </c>
      <c r="F504" s="7" t="s">
        <v>57</v>
      </c>
    </row>
    <row r="505" spans="1:6" ht="33" x14ac:dyDescent="0.25">
      <c r="A505" s="6" t="s">
        <v>2477</v>
      </c>
      <c r="B505" s="7" t="s">
        <v>2478</v>
      </c>
      <c r="C505" s="7"/>
      <c r="D505" s="7" t="s">
        <v>27</v>
      </c>
      <c r="E505" s="7" t="s">
        <v>2479</v>
      </c>
      <c r="F505" s="7" t="s">
        <v>74</v>
      </c>
    </row>
    <row r="506" spans="1:6" ht="33" x14ac:dyDescent="0.25">
      <c r="A506" s="6" t="s">
        <v>1225</v>
      </c>
      <c r="B506" s="7" t="s">
        <v>1226</v>
      </c>
      <c r="C506" s="7"/>
      <c r="D506" s="7" t="s">
        <v>1227</v>
      </c>
      <c r="E506" s="7" t="s">
        <v>1228</v>
      </c>
      <c r="F506" s="7" t="s">
        <v>74</v>
      </c>
    </row>
    <row r="507" spans="1:6" ht="33" x14ac:dyDescent="0.25">
      <c r="A507" s="6" t="s">
        <v>453</v>
      </c>
      <c r="B507" s="7" t="s">
        <v>452</v>
      </c>
      <c r="C507" s="7"/>
      <c r="D507" s="7" t="s">
        <v>454</v>
      </c>
      <c r="E507" s="7" t="s">
        <v>455</v>
      </c>
      <c r="F507" s="7" t="s">
        <v>145</v>
      </c>
    </row>
    <row r="508" spans="1:6" ht="33" x14ac:dyDescent="0.25">
      <c r="A508" s="6" t="s">
        <v>2470</v>
      </c>
      <c r="B508" s="7" t="s">
        <v>2471</v>
      </c>
      <c r="C508" s="7" t="s">
        <v>155</v>
      </c>
      <c r="D508" s="7" t="s">
        <v>27</v>
      </c>
      <c r="E508" s="7" t="s">
        <v>2472</v>
      </c>
      <c r="F508" s="7" t="s">
        <v>74</v>
      </c>
    </row>
    <row r="509" spans="1:6" ht="33" x14ac:dyDescent="0.25">
      <c r="A509" s="6" t="s">
        <v>1552</v>
      </c>
      <c r="B509" s="7" t="s">
        <v>1553</v>
      </c>
      <c r="C509" s="7"/>
      <c r="D509" s="7" t="s">
        <v>1554</v>
      </c>
      <c r="E509" s="7" t="s">
        <v>1555</v>
      </c>
      <c r="F509" s="7" t="s">
        <v>57</v>
      </c>
    </row>
    <row r="510" spans="1:6" ht="33" x14ac:dyDescent="0.25">
      <c r="A510" s="6" t="s">
        <v>2540</v>
      </c>
      <c r="B510" s="7" t="s">
        <v>1553</v>
      </c>
      <c r="C510" s="7"/>
      <c r="D510" s="7" t="s">
        <v>2541</v>
      </c>
      <c r="E510" s="7" t="s">
        <v>2542</v>
      </c>
      <c r="F510" s="7" t="s">
        <v>57</v>
      </c>
    </row>
    <row r="511" spans="1:6" ht="33" x14ac:dyDescent="0.25">
      <c r="A511" s="6" t="s">
        <v>1444</v>
      </c>
      <c r="B511" s="7" t="s">
        <v>1445</v>
      </c>
      <c r="C511" s="7" t="s">
        <v>155</v>
      </c>
      <c r="D511" s="7" t="s">
        <v>1446</v>
      </c>
      <c r="E511" s="7" t="s">
        <v>1447</v>
      </c>
      <c r="F511" s="7" t="s">
        <v>145</v>
      </c>
    </row>
    <row r="512" spans="1:6" ht="33" x14ac:dyDescent="0.25">
      <c r="A512" s="6" t="s">
        <v>1432</v>
      </c>
      <c r="B512" s="7" t="s">
        <v>1433</v>
      </c>
      <c r="C512" s="7" t="s">
        <v>151</v>
      </c>
      <c r="D512" s="7" t="s">
        <v>1434</v>
      </c>
      <c r="E512" s="7" t="s">
        <v>1435</v>
      </c>
      <c r="F512" s="7" t="s">
        <v>145</v>
      </c>
    </row>
    <row r="513" spans="1:6" ht="33" x14ac:dyDescent="0.25">
      <c r="A513" s="8" t="s">
        <v>1696</v>
      </c>
      <c r="B513" s="9" t="s">
        <v>1697</v>
      </c>
      <c r="C513" s="9"/>
      <c r="D513" s="9" t="s">
        <v>1698</v>
      </c>
      <c r="E513" s="9" t="s">
        <v>1699</v>
      </c>
      <c r="F513" s="9" t="s">
        <v>13</v>
      </c>
    </row>
    <row r="514" spans="1:6" ht="33" x14ac:dyDescent="0.25">
      <c r="A514" s="6" t="s">
        <v>83</v>
      </c>
      <c r="B514" s="7" t="s">
        <v>84</v>
      </c>
      <c r="C514" s="7"/>
      <c r="D514" s="7" t="s">
        <v>82</v>
      </c>
      <c r="E514" s="7" t="s">
        <v>81</v>
      </c>
      <c r="F514" s="7" t="s">
        <v>74</v>
      </c>
    </row>
    <row r="515" spans="1:6" ht="33" x14ac:dyDescent="0.25">
      <c r="A515" s="6" t="s">
        <v>1474</v>
      </c>
      <c r="B515" s="7" t="s">
        <v>1475</v>
      </c>
      <c r="C515" s="7"/>
      <c r="D515" s="7" t="s">
        <v>1476</v>
      </c>
      <c r="E515" s="7" t="s">
        <v>1477</v>
      </c>
      <c r="F515" s="7" t="s">
        <v>145</v>
      </c>
    </row>
    <row r="516" spans="1:6" ht="33" x14ac:dyDescent="0.25">
      <c r="A516" s="6" t="s">
        <v>901</v>
      </c>
      <c r="B516" s="7" t="s">
        <v>900</v>
      </c>
      <c r="C516" s="7"/>
      <c r="D516" s="7" t="s">
        <v>902</v>
      </c>
      <c r="E516" s="7" t="s">
        <v>2607</v>
      </c>
      <c r="F516" s="7" t="s">
        <v>145</v>
      </c>
    </row>
    <row r="517" spans="1:6" ht="33" x14ac:dyDescent="0.25">
      <c r="A517" s="6" t="s">
        <v>1913</v>
      </c>
      <c r="B517" s="7" t="s">
        <v>1914</v>
      </c>
      <c r="C517" s="7"/>
      <c r="D517" s="7" t="s">
        <v>1915</v>
      </c>
      <c r="E517" s="7" t="s">
        <v>1916</v>
      </c>
      <c r="F517" s="7" t="s">
        <v>13</v>
      </c>
    </row>
    <row r="518" spans="1:6" ht="33" x14ac:dyDescent="0.25">
      <c r="A518" s="6" t="s">
        <v>95</v>
      </c>
      <c r="B518" s="7" t="s">
        <v>96</v>
      </c>
      <c r="C518" s="7"/>
      <c r="D518" s="7" t="s">
        <v>94</v>
      </c>
      <c r="E518" s="7" t="s">
        <v>93</v>
      </c>
      <c r="F518" s="7" t="s">
        <v>74</v>
      </c>
    </row>
    <row r="519" spans="1:6" ht="49.5" x14ac:dyDescent="0.25">
      <c r="A519" s="6" t="s">
        <v>1517</v>
      </c>
      <c r="B519" s="7" t="s">
        <v>1518</v>
      </c>
      <c r="C519" s="7"/>
      <c r="D519" s="7" t="s">
        <v>27</v>
      </c>
      <c r="E519" s="7" t="s">
        <v>1519</v>
      </c>
      <c r="F519" s="7" t="s">
        <v>26</v>
      </c>
    </row>
    <row r="520" spans="1:6" ht="33" x14ac:dyDescent="0.25">
      <c r="A520" s="6" t="s">
        <v>1437</v>
      </c>
      <c r="B520" s="7" t="s">
        <v>1438</v>
      </c>
      <c r="C520" s="7" t="s">
        <v>155</v>
      </c>
      <c r="D520" s="7" t="s">
        <v>170</v>
      </c>
      <c r="E520" s="7" t="s">
        <v>1439</v>
      </c>
      <c r="F520" s="7" t="s">
        <v>57</v>
      </c>
    </row>
    <row r="521" spans="1:6" ht="33" x14ac:dyDescent="0.25">
      <c r="A521" s="6" t="s">
        <v>1427</v>
      </c>
      <c r="B521" s="7" t="s">
        <v>1428</v>
      </c>
      <c r="C521" s="7"/>
      <c r="D521" s="7" t="s">
        <v>581</v>
      </c>
      <c r="E521" s="7" t="s">
        <v>1429</v>
      </c>
      <c r="F521" s="7" t="s">
        <v>46</v>
      </c>
    </row>
    <row r="522" spans="1:6" ht="33" x14ac:dyDescent="0.25">
      <c r="A522" s="6" t="s">
        <v>602</v>
      </c>
      <c r="B522" s="7" t="s">
        <v>601</v>
      </c>
      <c r="C522" s="7"/>
      <c r="D522" s="7" t="s">
        <v>581</v>
      </c>
      <c r="E522" s="7" t="s">
        <v>603</v>
      </c>
      <c r="F522" s="7" t="s">
        <v>74</v>
      </c>
    </row>
    <row r="523" spans="1:6" ht="33" x14ac:dyDescent="0.25">
      <c r="A523" s="6" t="s">
        <v>1440</v>
      </c>
      <c r="B523" s="7" t="s">
        <v>1441</v>
      </c>
      <c r="C523" s="7" t="s">
        <v>155</v>
      </c>
      <c r="D523" s="7" t="s">
        <v>1442</v>
      </c>
      <c r="E523" s="7" t="s">
        <v>1443</v>
      </c>
      <c r="F523" s="7" t="s">
        <v>145</v>
      </c>
    </row>
    <row r="524" spans="1:6" ht="33" x14ac:dyDescent="0.25">
      <c r="A524" s="6" t="s">
        <v>218</v>
      </c>
      <c r="B524" s="7" t="s">
        <v>219</v>
      </c>
      <c r="C524" s="7"/>
      <c r="D524" s="7" t="s">
        <v>217</v>
      </c>
      <c r="E524" s="7" t="s">
        <v>216</v>
      </c>
      <c r="F524" s="7" t="s">
        <v>74</v>
      </c>
    </row>
    <row r="525" spans="1:6" ht="33" x14ac:dyDescent="0.25">
      <c r="A525" s="6" t="s">
        <v>161</v>
      </c>
      <c r="B525" s="7" t="s">
        <v>162</v>
      </c>
      <c r="C525" s="7"/>
      <c r="D525" s="7" t="s">
        <v>27</v>
      </c>
      <c r="E525" s="7" t="s">
        <v>160</v>
      </c>
      <c r="F525" s="7" t="s">
        <v>145</v>
      </c>
    </row>
    <row r="526" spans="1:6" ht="49.5" x14ac:dyDescent="0.25">
      <c r="A526" s="6" t="s">
        <v>2445</v>
      </c>
      <c r="B526" s="7" t="s">
        <v>2446</v>
      </c>
      <c r="C526" s="7"/>
      <c r="D526" s="7" t="s">
        <v>2447</v>
      </c>
      <c r="E526" s="7" t="s">
        <v>2448</v>
      </c>
      <c r="F526" s="7" t="s">
        <v>57</v>
      </c>
    </row>
    <row r="527" spans="1:6" ht="33" x14ac:dyDescent="0.25">
      <c r="A527" s="6" t="s">
        <v>40</v>
      </c>
      <c r="B527" s="7"/>
      <c r="C527" s="7"/>
      <c r="D527" s="7" t="s">
        <v>39</v>
      </c>
      <c r="E527" s="7" t="s">
        <v>38</v>
      </c>
      <c r="F527" s="7" t="s">
        <v>26</v>
      </c>
    </row>
    <row r="528" spans="1:6" ht="33" x14ac:dyDescent="0.25">
      <c r="A528" s="6" t="s">
        <v>44</v>
      </c>
      <c r="B528" s="7"/>
      <c r="C528" s="7"/>
      <c r="D528" s="7" t="s">
        <v>43</v>
      </c>
      <c r="E528" s="7" t="s">
        <v>41</v>
      </c>
      <c r="F528" s="7" t="s">
        <v>42</v>
      </c>
    </row>
    <row r="529" spans="1:6" ht="33" x14ac:dyDescent="0.25">
      <c r="A529" s="6" t="s">
        <v>63</v>
      </c>
      <c r="B529" s="7"/>
      <c r="C529" s="7"/>
      <c r="D529" s="7" t="s">
        <v>62</v>
      </c>
      <c r="E529" s="7" t="s">
        <v>61</v>
      </c>
      <c r="F529" s="7" t="s">
        <v>26</v>
      </c>
    </row>
    <row r="530" spans="1:6" ht="33" x14ac:dyDescent="0.25">
      <c r="A530" s="6" t="s">
        <v>76</v>
      </c>
      <c r="B530" s="7"/>
      <c r="C530" s="7"/>
      <c r="D530" s="7" t="s">
        <v>75</v>
      </c>
      <c r="E530" s="7" t="s">
        <v>73</v>
      </c>
      <c r="F530" s="7" t="s">
        <v>74</v>
      </c>
    </row>
    <row r="531" spans="1:6" ht="49.5" x14ac:dyDescent="0.25">
      <c r="A531" s="6" t="s">
        <v>127</v>
      </c>
      <c r="B531" s="7"/>
      <c r="C531" s="7"/>
      <c r="D531" s="7" t="s">
        <v>126</v>
      </c>
      <c r="E531" s="7" t="s">
        <v>125</v>
      </c>
      <c r="F531" s="7" t="s">
        <v>57</v>
      </c>
    </row>
    <row r="532" spans="1:6" ht="33" x14ac:dyDescent="0.25">
      <c r="A532" s="6" t="s">
        <v>175</v>
      </c>
      <c r="B532" s="7"/>
      <c r="C532" s="7"/>
      <c r="D532" s="7" t="s">
        <v>78</v>
      </c>
      <c r="E532" s="7" t="s">
        <v>174</v>
      </c>
      <c r="F532" s="7" t="s">
        <v>46</v>
      </c>
    </row>
    <row r="533" spans="1:6" ht="33" x14ac:dyDescent="0.25">
      <c r="A533" s="6" t="s">
        <v>182</v>
      </c>
      <c r="B533" s="7"/>
      <c r="C533" s="7"/>
      <c r="D533" s="7" t="s">
        <v>27</v>
      </c>
      <c r="E533" s="7" t="s">
        <v>181</v>
      </c>
      <c r="F533" s="7" t="s">
        <v>145</v>
      </c>
    </row>
    <row r="534" spans="1:6" ht="49.5" x14ac:dyDescent="0.25">
      <c r="A534" s="6" t="s">
        <v>201</v>
      </c>
      <c r="B534" s="7"/>
      <c r="C534" s="7"/>
      <c r="D534" s="7" t="s">
        <v>200</v>
      </c>
      <c r="E534" s="7" t="s">
        <v>199</v>
      </c>
      <c r="F534" s="7" t="s">
        <v>13</v>
      </c>
    </row>
    <row r="535" spans="1:6" ht="33" x14ac:dyDescent="0.25">
      <c r="A535" s="6" t="s">
        <v>208</v>
      </c>
      <c r="B535" s="7"/>
      <c r="C535" s="7"/>
      <c r="D535" s="7" t="s">
        <v>207</v>
      </c>
      <c r="E535" s="7" t="s">
        <v>206</v>
      </c>
      <c r="F535" s="7" t="s">
        <v>13</v>
      </c>
    </row>
    <row r="536" spans="1:6" ht="49.5" x14ac:dyDescent="0.25">
      <c r="A536" s="6" t="s">
        <v>232</v>
      </c>
      <c r="B536" s="7"/>
      <c r="C536" s="7" t="s">
        <v>230</v>
      </c>
      <c r="D536" s="7" t="s">
        <v>231</v>
      </c>
      <c r="E536" s="7" t="s">
        <v>229</v>
      </c>
      <c r="F536" s="7" t="s">
        <v>13</v>
      </c>
    </row>
    <row r="537" spans="1:6" ht="33" x14ac:dyDescent="0.25">
      <c r="A537" s="6" t="s">
        <v>236</v>
      </c>
      <c r="B537" s="7"/>
      <c r="C537" s="7" t="s">
        <v>234</v>
      </c>
      <c r="D537" s="7" t="s">
        <v>235</v>
      </c>
      <c r="E537" s="7" t="s">
        <v>233</v>
      </c>
      <c r="F537" s="7" t="s">
        <v>26</v>
      </c>
    </row>
    <row r="538" spans="1:6" ht="33" x14ac:dyDescent="0.25">
      <c r="A538" s="6" t="s">
        <v>241</v>
      </c>
      <c r="B538" s="7"/>
      <c r="C538" s="7" t="s">
        <v>239</v>
      </c>
      <c r="D538" s="7" t="s">
        <v>240</v>
      </c>
      <c r="E538" s="7" t="s">
        <v>237</v>
      </c>
      <c r="F538" s="7" t="s">
        <v>238</v>
      </c>
    </row>
    <row r="539" spans="1:6" ht="33" x14ac:dyDescent="0.25">
      <c r="A539" s="6" t="s">
        <v>456</v>
      </c>
      <c r="B539" s="7"/>
      <c r="C539" s="7"/>
      <c r="D539" s="7" t="s">
        <v>457</v>
      </c>
      <c r="E539" s="7" t="s">
        <v>458</v>
      </c>
      <c r="F539" s="7" t="s">
        <v>145</v>
      </c>
    </row>
    <row r="540" spans="1:6" ht="66" x14ac:dyDescent="0.25">
      <c r="A540" s="6" t="s">
        <v>459</v>
      </c>
      <c r="B540" s="7"/>
      <c r="C540" s="7" t="s">
        <v>460</v>
      </c>
      <c r="D540" s="7" t="s">
        <v>461</v>
      </c>
      <c r="E540" s="7" t="s">
        <v>462</v>
      </c>
      <c r="F540" s="7" t="s">
        <v>145</v>
      </c>
    </row>
    <row r="541" spans="1:6" ht="49.5" x14ac:dyDescent="0.25">
      <c r="A541" s="6" t="s">
        <v>463</v>
      </c>
      <c r="B541" s="7"/>
      <c r="C541" s="7"/>
      <c r="D541" s="7" t="s">
        <v>464</v>
      </c>
      <c r="E541" s="7" t="s">
        <v>465</v>
      </c>
      <c r="F541" s="7" t="s">
        <v>13</v>
      </c>
    </row>
    <row r="542" spans="1:6" ht="33" x14ac:dyDescent="0.25">
      <c r="A542" s="6" t="s">
        <v>466</v>
      </c>
      <c r="B542" s="7"/>
      <c r="C542" s="7"/>
      <c r="D542" s="7" t="s">
        <v>467</v>
      </c>
      <c r="E542" s="7" t="s">
        <v>468</v>
      </c>
      <c r="F542" s="7" t="s">
        <v>57</v>
      </c>
    </row>
    <row r="543" spans="1:6" ht="49.5" x14ac:dyDescent="0.25">
      <c r="A543" s="6" t="s">
        <v>469</v>
      </c>
      <c r="B543" s="7"/>
      <c r="C543" s="7"/>
      <c r="D543" s="7" t="s">
        <v>470</v>
      </c>
      <c r="E543" s="7" t="s">
        <v>471</v>
      </c>
      <c r="F543" s="7" t="s">
        <v>145</v>
      </c>
    </row>
    <row r="544" spans="1:6" ht="33" x14ac:dyDescent="0.25">
      <c r="A544" s="6" t="s">
        <v>472</v>
      </c>
      <c r="B544" s="7"/>
      <c r="C544" s="7"/>
      <c r="D544" s="7" t="s">
        <v>473</v>
      </c>
      <c r="E544" s="7" t="s">
        <v>474</v>
      </c>
      <c r="F544" s="7" t="s">
        <v>145</v>
      </c>
    </row>
    <row r="545" spans="1:6" ht="33" x14ac:dyDescent="0.25">
      <c r="A545" s="6" t="s">
        <v>475</v>
      </c>
      <c r="B545" s="7"/>
      <c r="C545" s="7"/>
      <c r="D545" s="7" t="s">
        <v>476</v>
      </c>
      <c r="E545" s="7" t="s">
        <v>477</v>
      </c>
      <c r="F545" s="7" t="s">
        <v>478</v>
      </c>
    </row>
    <row r="546" spans="1:6" ht="33" x14ac:dyDescent="0.25">
      <c r="A546" s="6" t="s">
        <v>479</v>
      </c>
      <c r="B546" s="7"/>
      <c r="C546" s="7"/>
      <c r="D546" s="7" t="s">
        <v>480</v>
      </c>
      <c r="E546" s="7" t="s">
        <v>481</v>
      </c>
      <c r="F546" s="7" t="s">
        <v>145</v>
      </c>
    </row>
    <row r="547" spans="1:6" ht="33" x14ac:dyDescent="0.25">
      <c r="A547" s="6" t="s">
        <v>482</v>
      </c>
      <c r="B547" s="7"/>
      <c r="C547" s="7"/>
      <c r="D547" s="7" t="s">
        <v>483</v>
      </c>
      <c r="E547" s="7" t="s">
        <v>484</v>
      </c>
      <c r="F547" s="7" t="s">
        <v>145</v>
      </c>
    </row>
    <row r="548" spans="1:6" ht="33" x14ac:dyDescent="0.25">
      <c r="A548" s="6" t="s">
        <v>485</v>
      </c>
      <c r="B548" s="7"/>
      <c r="C548" s="7"/>
      <c r="D548" s="7" t="s">
        <v>486</v>
      </c>
      <c r="E548" s="7" t="s">
        <v>487</v>
      </c>
      <c r="F548" s="7" t="s">
        <v>145</v>
      </c>
    </row>
    <row r="549" spans="1:6" ht="33" x14ac:dyDescent="0.25">
      <c r="A549" s="6" t="s">
        <v>488</v>
      </c>
      <c r="B549" s="7"/>
      <c r="C549" s="7"/>
      <c r="D549" s="7" t="s">
        <v>489</v>
      </c>
      <c r="E549" s="7" t="s">
        <v>490</v>
      </c>
      <c r="F549" s="7" t="s">
        <v>145</v>
      </c>
    </row>
    <row r="550" spans="1:6" ht="33" x14ac:dyDescent="0.25">
      <c r="A550" s="6" t="s">
        <v>491</v>
      </c>
      <c r="B550" s="7"/>
      <c r="C550" s="7"/>
      <c r="D550" s="7" t="s">
        <v>492</v>
      </c>
      <c r="E550" s="7" t="s">
        <v>493</v>
      </c>
      <c r="F550" s="7" t="s">
        <v>26</v>
      </c>
    </row>
    <row r="551" spans="1:6" ht="33" x14ac:dyDescent="0.25">
      <c r="A551" s="6" t="s">
        <v>494</v>
      </c>
      <c r="B551" s="7"/>
      <c r="C551" s="7"/>
      <c r="D551" s="7" t="s">
        <v>495</v>
      </c>
      <c r="E551" s="7" t="s">
        <v>496</v>
      </c>
      <c r="F551" s="7" t="s">
        <v>26</v>
      </c>
    </row>
    <row r="552" spans="1:6" ht="49.5" x14ac:dyDescent="0.25">
      <c r="A552" s="6" t="s">
        <v>903</v>
      </c>
      <c r="B552" s="7"/>
      <c r="C552" s="7"/>
      <c r="D552" s="7" t="s">
        <v>904</v>
      </c>
      <c r="E552" s="7" t="s">
        <v>905</v>
      </c>
      <c r="F552" s="7" t="s">
        <v>26</v>
      </c>
    </row>
    <row r="553" spans="1:6" ht="33" x14ac:dyDescent="0.25">
      <c r="A553" s="6" t="s">
        <v>906</v>
      </c>
      <c r="B553" s="7"/>
      <c r="C553" s="7"/>
      <c r="D553" s="7" t="s">
        <v>907</v>
      </c>
      <c r="E553" s="7" t="s">
        <v>908</v>
      </c>
      <c r="F553" s="7" t="s">
        <v>13</v>
      </c>
    </row>
    <row r="554" spans="1:6" ht="33" x14ac:dyDescent="0.25">
      <c r="A554" s="6" t="s">
        <v>909</v>
      </c>
      <c r="B554" s="7"/>
      <c r="C554" s="7"/>
      <c r="D554" s="7" t="s">
        <v>910</v>
      </c>
      <c r="E554" s="7" t="s">
        <v>911</v>
      </c>
      <c r="F554" s="7" t="s">
        <v>74</v>
      </c>
    </row>
    <row r="555" spans="1:6" ht="33" x14ac:dyDescent="0.25">
      <c r="A555" s="6" t="s">
        <v>912</v>
      </c>
      <c r="B555" s="7"/>
      <c r="C555" s="7"/>
      <c r="D555" s="7" t="s">
        <v>913</v>
      </c>
      <c r="E555" s="7" t="s">
        <v>914</v>
      </c>
      <c r="F555" s="7" t="s">
        <v>26</v>
      </c>
    </row>
    <row r="556" spans="1:6" ht="33" x14ac:dyDescent="0.25">
      <c r="A556" s="6" t="s">
        <v>915</v>
      </c>
      <c r="B556" s="7"/>
      <c r="C556" s="7"/>
      <c r="D556" s="7" t="s">
        <v>916</v>
      </c>
      <c r="E556" s="7" t="s">
        <v>917</v>
      </c>
      <c r="F556" s="7" t="s">
        <v>13</v>
      </c>
    </row>
    <row r="557" spans="1:6" ht="33" x14ac:dyDescent="0.25">
      <c r="A557" s="6" t="s">
        <v>918</v>
      </c>
      <c r="B557" s="7"/>
      <c r="C557" s="7"/>
      <c r="D557" s="7" t="s">
        <v>919</v>
      </c>
      <c r="E557" s="7" t="s">
        <v>920</v>
      </c>
      <c r="F557" s="7" t="s">
        <v>13</v>
      </c>
    </row>
    <row r="558" spans="1:6" ht="33" x14ac:dyDescent="0.25">
      <c r="A558" s="6" t="s">
        <v>921</v>
      </c>
      <c r="B558" s="7"/>
      <c r="C558" s="7"/>
      <c r="D558" s="7" t="s">
        <v>922</v>
      </c>
      <c r="E558" s="7" t="s">
        <v>923</v>
      </c>
      <c r="F558" s="7" t="s">
        <v>924</v>
      </c>
    </row>
    <row r="559" spans="1:6" ht="33" x14ac:dyDescent="0.25">
      <c r="A559" s="6" t="s">
        <v>925</v>
      </c>
      <c r="B559" s="7"/>
      <c r="C559" s="7"/>
      <c r="D559" s="7" t="s">
        <v>926</v>
      </c>
      <c r="E559" s="7" t="s">
        <v>927</v>
      </c>
      <c r="F559" s="7" t="s">
        <v>74</v>
      </c>
    </row>
    <row r="560" spans="1:6" ht="33" x14ac:dyDescent="0.25">
      <c r="A560" s="6" t="s">
        <v>928</v>
      </c>
      <c r="B560" s="7"/>
      <c r="C560" s="7"/>
      <c r="D560" s="7" t="s">
        <v>929</v>
      </c>
      <c r="E560" s="7" t="s">
        <v>930</v>
      </c>
      <c r="F560" s="7" t="s">
        <v>13</v>
      </c>
    </row>
    <row r="561" spans="1:6" ht="33" x14ac:dyDescent="0.25">
      <c r="A561" s="6" t="s">
        <v>931</v>
      </c>
      <c r="B561" s="7"/>
      <c r="C561" s="7"/>
      <c r="D561" s="7" t="s">
        <v>932</v>
      </c>
      <c r="E561" s="7" t="s">
        <v>933</v>
      </c>
      <c r="F561" s="7" t="s">
        <v>26</v>
      </c>
    </row>
    <row r="562" spans="1:6" ht="33" x14ac:dyDescent="0.25">
      <c r="A562" s="6" t="s">
        <v>928</v>
      </c>
      <c r="B562" s="7"/>
      <c r="C562" s="7"/>
      <c r="D562" s="7" t="s">
        <v>929</v>
      </c>
      <c r="E562" s="7" t="s">
        <v>934</v>
      </c>
      <c r="F562" s="7" t="s">
        <v>13</v>
      </c>
    </row>
    <row r="563" spans="1:6" ht="33" x14ac:dyDescent="0.25">
      <c r="A563" s="6" t="s">
        <v>928</v>
      </c>
      <c r="B563" s="7"/>
      <c r="C563" s="7"/>
      <c r="D563" s="7" t="s">
        <v>929</v>
      </c>
      <c r="E563" s="7" t="s">
        <v>935</v>
      </c>
      <c r="F563" s="7" t="s">
        <v>13</v>
      </c>
    </row>
    <row r="564" spans="1:6" ht="33" x14ac:dyDescent="0.25">
      <c r="A564" s="6" t="s">
        <v>928</v>
      </c>
      <c r="B564" s="7"/>
      <c r="C564" s="7"/>
      <c r="D564" s="7" t="s">
        <v>929</v>
      </c>
      <c r="E564" s="7" t="s">
        <v>936</v>
      </c>
      <c r="F564" s="7" t="s">
        <v>13</v>
      </c>
    </row>
    <row r="565" spans="1:6" ht="33" x14ac:dyDescent="0.25">
      <c r="A565" s="6" t="s">
        <v>928</v>
      </c>
      <c r="B565" s="7"/>
      <c r="C565" s="7"/>
      <c r="D565" s="7" t="s">
        <v>929</v>
      </c>
      <c r="E565" s="7" t="s">
        <v>937</v>
      </c>
      <c r="F565" s="7" t="s">
        <v>13</v>
      </c>
    </row>
    <row r="566" spans="1:6" ht="33" x14ac:dyDescent="0.25">
      <c r="A566" s="6" t="s">
        <v>928</v>
      </c>
      <c r="B566" s="7"/>
      <c r="C566" s="7"/>
      <c r="D566" s="7" t="s">
        <v>929</v>
      </c>
      <c r="E566" s="7" t="s">
        <v>938</v>
      </c>
      <c r="F566" s="7" t="s">
        <v>13</v>
      </c>
    </row>
    <row r="567" spans="1:6" ht="33" x14ac:dyDescent="0.25">
      <c r="A567" s="6" t="s">
        <v>928</v>
      </c>
      <c r="B567" s="7"/>
      <c r="C567" s="7"/>
      <c r="D567" s="7" t="s">
        <v>929</v>
      </c>
      <c r="E567" s="7" t="s">
        <v>939</v>
      </c>
      <c r="F567" s="7" t="s">
        <v>13</v>
      </c>
    </row>
    <row r="568" spans="1:6" ht="33" x14ac:dyDescent="0.25">
      <c r="A568" s="6" t="s">
        <v>940</v>
      </c>
      <c r="B568" s="7"/>
      <c r="C568" s="7"/>
      <c r="D568" s="7" t="s">
        <v>941</v>
      </c>
      <c r="E568" s="7" t="s">
        <v>942</v>
      </c>
      <c r="F568" s="7" t="s">
        <v>632</v>
      </c>
    </row>
    <row r="569" spans="1:6" ht="33" x14ac:dyDescent="0.25">
      <c r="A569" s="6" t="s">
        <v>943</v>
      </c>
      <c r="B569" s="7"/>
      <c r="C569" s="7"/>
      <c r="D569" s="7" t="s">
        <v>944</v>
      </c>
      <c r="E569" s="7" t="s">
        <v>945</v>
      </c>
      <c r="F569" s="7" t="s">
        <v>13</v>
      </c>
    </row>
    <row r="570" spans="1:6" ht="33" x14ac:dyDescent="0.25">
      <c r="A570" s="6" t="s">
        <v>946</v>
      </c>
      <c r="B570" s="7"/>
      <c r="C570" s="7"/>
      <c r="D570" s="7" t="s">
        <v>947</v>
      </c>
      <c r="E570" s="7" t="s">
        <v>948</v>
      </c>
      <c r="F570" s="7" t="s">
        <v>13</v>
      </c>
    </row>
    <row r="571" spans="1:6" ht="33" x14ac:dyDescent="0.25">
      <c r="A571" s="6" t="s">
        <v>949</v>
      </c>
      <c r="B571" s="7"/>
      <c r="C571" s="7"/>
      <c r="D571" s="7" t="s">
        <v>950</v>
      </c>
      <c r="E571" s="7" t="s">
        <v>951</v>
      </c>
      <c r="F571" s="7" t="s">
        <v>13</v>
      </c>
    </row>
    <row r="572" spans="1:6" ht="33" x14ac:dyDescent="0.25">
      <c r="A572" s="6" t="s">
        <v>952</v>
      </c>
      <c r="B572" s="7"/>
      <c r="C572" s="7"/>
      <c r="D572" s="7" t="s">
        <v>953</v>
      </c>
      <c r="E572" s="7" t="s">
        <v>954</v>
      </c>
      <c r="F572" s="7" t="s">
        <v>13</v>
      </c>
    </row>
    <row r="573" spans="1:6" ht="33" x14ac:dyDescent="0.25">
      <c r="A573" s="6" t="s">
        <v>963</v>
      </c>
      <c r="B573" s="7"/>
      <c r="C573" s="7"/>
      <c r="D573" s="7" t="s">
        <v>964</v>
      </c>
      <c r="E573" s="7" t="s">
        <v>965</v>
      </c>
      <c r="F573" s="7" t="s">
        <v>966</v>
      </c>
    </row>
    <row r="574" spans="1:6" ht="33" x14ac:dyDescent="0.25">
      <c r="A574" s="6" t="s">
        <v>987</v>
      </c>
      <c r="B574" s="7"/>
      <c r="C574" s="7"/>
      <c r="D574" s="7" t="s">
        <v>988</v>
      </c>
      <c r="E574" s="7" t="s">
        <v>989</v>
      </c>
      <c r="F574" s="7" t="s">
        <v>74</v>
      </c>
    </row>
    <row r="575" spans="1:6" ht="33" x14ac:dyDescent="0.25">
      <c r="A575" s="6" t="s">
        <v>998</v>
      </c>
      <c r="B575" s="7"/>
      <c r="C575" s="7"/>
      <c r="D575" s="7" t="s">
        <v>999</v>
      </c>
      <c r="E575" s="7" t="s">
        <v>1000</v>
      </c>
      <c r="F575" s="7" t="s">
        <v>1001</v>
      </c>
    </row>
    <row r="576" spans="1:6" ht="33" x14ac:dyDescent="0.25">
      <c r="A576" s="6" t="s">
        <v>1014</v>
      </c>
      <c r="B576" s="7"/>
      <c r="C576" s="7"/>
      <c r="D576" s="7" t="s">
        <v>1015</v>
      </c>
      <c r="E576" s="7" t="s">
        <v>1016</v>
      </c>
      <c r="F576" s="7" t="s">
        <v>13</v>
      </c>
    </row>
    <row r="577" spans="1:6" ht="33" x14ac:dyDescent="0.25">
      <c r="A577" s="6" t="s">
        <v>1021</v>
      </c>
      <c r="B577" s="7"/>
      <c r="C577" s="7"/>
      <c r="D577" s="7" t="s">
        <v>1022</v>
      </c>
      <c r="E577" s="7" t="s">
        <v>1023</v>
      </c>
      <c r="F577" s="7" t="s">
        <v>26</v>
      </c>
    </row>
    <row r="578" spans="1:6" ht="33" x14ac:dyDescent="0.25">
      <c r="A578" s="6" t="s">
        <v>1036</v>
      </c>
      <c r="B578" s="7"/>
      <c r="C578" s="7"/>
      <c r="D578" s="7" t="s">
        <v>1037</v>
      </c>
      <c r="E578" s="7" t="s">
        <v>1038</v>
      </c>
      <c r="F578" s="7" t="s">
        <v>74</v>
      </c>
    </row>
    <row r="579" spans="1:6" ht="49.5" x14ac:dyDescent="0.25">
      <c r="A579" s="6" t="s">
        <v>1045</v>
      </c>
      <c r="B579" s="7"/>
      <c r="C579" s="7"/>
      <c r="D579" s="7" t="s">
        <v>1046</v>
      </c>
      <c r="E579" s="7" t="s">
        <v>1047</v>
      </c>
      <c r="F579" s="7" t="s">
        <v>632</v>
      </c>
    </row>
    <row r="580" spans="1:6" ht="33" x14ac:dyDescent="0.25">
      <c r="A580" s="6" t="s">
        <v>1062</v>
      </c>
      <c r="B580" s="7"/>
      <c r="C580" s="7"/>
      <c r="D580" s="7" t="s">
        <v>1063</v>
      </c>
      <c r="E580" s="7" t="s">
        <v>1064</v>
      </c>
      <c r="F580" s="7" t="s">
        <v>74</v>
      </c>
    </row>
    <row r="581" spans="1:6" ht="33" x14ac:dyDescent="0.25">
      <c r="A581" s="6" t="s">
        <v>1117</v>
      </c>
      <c r="B581" s="7"/>
      <c r="C581" s="7"/>
      <c r="D581" s="7" t="s">
        <v>1118</v>
      </c>
      <c r="E581" s="7" t="s">
        <v>1119</v>
      </c>
      <c r="F581" s="7" t="s">
        <v>966</v>
      </c>
    </row>
    <row r="582" spans="1:6" ht="33" x14ac:dyDescent="0.25">
      <c r="A582" s="6" t="s">
        <v>1124</v>
      </c>
      <c r="B582" s="7"/>
      <c r="C582" s="7"/>
      <c r="D582" s="7" t="s">
        <v>1125</v>
      </c>
      <c r="E582" s="7" t="s">
        <v>1126</v>
      </c>
      <c r="F582" s="7" t="s">
        <v>13</v>
      </c>
    </row>
    <row r="583" spans="1:6" ht="33" x14ac:dyDescent="0.25">
      <c r="A583" s="6" t="s">
        <v>1148</v>
      </c>
      <c r="B583" s="7"/>
      <c r="C583" s="7"/>
      <c r="D583" s="7" t="s">
        <v>1149</v>
      </c>
      <c r="E583" s="7" t="s">
        <v>1150</v>
      </c>
      <c r="F583" s="7" t="s">
        <v>74</v>
      </c>
    </row>
    <row r="584" spans="1:6" ht="33" x14ac:dyDescent="0.25">
      <c r="A584" s="6" t="s">
        <v>1155</v>
      </c>
      <c r="B584" s="7"/>
      <c r="C584" s="7"/>
      <c r="D584" s="7" t="s">
        <v>1156</v>
      </c>
      <c r="E584" s="7" t="s">
        <v>1157</v>
      </c>
      <c r="F584" s="7" t="s">
        <v>1158</v>
      </c>
    </row>
    <row r="585" spans="1:6" ht="33" x14ac:dyDescent="0.25">
      <c r="A585" s="6" t="s">
        <v>1233</v>
      </c>
      <c r="B585" s="7"/>
      <c r="C585" s="7" t="s">
        <v>1109</v>
      </c>
      <c r="D585" s="7" t="s">
        <v>1234</v>
      </c>
      <c r="E585" s="7" t="s">
        <v>1235</v>
      </c>
      <c r="F585" s="7" t="s">
        <v>74</v>
      </c>
    </row>
    <row r="586" spans="1:6" ht="49.5" x14ac:dyDescent="0.25">
      <c r="A586" s="6" t="s">
        <v>1244</v>
      </c>
      <c r="B586" s="7"/>
      <c r="C586" s="7"/>
      <c r="D586" s="7" t="s">
        <v>1245</v>
      </c>
      <c r="E586" s="7" t="s">
        <v>1246</v>
      </c>
      <c r="F586" s="7" t="s">
        <v>13</v>
      </c>
    </row>
    <row r="587" spans="1:6" ht="49.5" x14ac:dyDescent="0.25">
      <c r="A587" s="6" t="s">
        <v>1247</v>
      </c>
      <c r="B587" s="7"/>
      <c r="C587" s="7"/>
      <c r="D587" s="7" t="s">
        <v>1248</v>
      </c>
      <c r="E587" s="7" t="s">
        <v>1249</v>
      </c>
      <c r="F587" s="7" t="s">
        <v>13</v>
      </c>
    </row>
    <row r="588" spans="1:6" ht="33" x14ac:dyDescent="0.25">
      <c r="A588" s="6" t="s">
        <v>1254</v>
      </c>
      <c r="B588" s="7"/>
      <c r="C588" s="7" t="s">
        <v>1255</v>
      </c>
      <c r="D588" s="7" t="s">
        <v>1256</v>
      </c>
      <c r="E588" s="7" t="s">
        <v>1257</v>
      </c>
      <c r="F588" s="7" t="s">
        <v>13</v>
      </c>
    </row>
    <row r="589" spans="1:6" ht="49.5" x14ac:dyDescent="0.25">
      <c r="A589" s="6" t="s">
        <v>1278</v>
      </c>
      <c r="B589" s="7"/>
      <c r="C589" s="7"/>
      <c r="D589" s="7" t="s">
        <v>1279</v>
      </c>
      <c r="E589" s="7" t="s">
        <v>1280</v>
      </c>
      <c r="F589" s="7" t="s">
        <v>13</v>
      </c>
    </row>
    <row r="590" spans="1:6" ht="33" x14ac:dyDescent="0.25">
      <c r="A590" s="6" t="s">
        <v>1289</v>
      </c>
      <c r="B590" s="7"/>
      <c r="C590" s="7"/>
      <c r="D590" s="7" t="s">
        <v>1290</v>
      </c>
      <c r="E590" s="7" t="s">
        <v>1291</v>
      </c>
      <c r="F590" s="7" t="s">
        <v>13</v>
      </c>
    </row>
    <row r="591" spans="1:6" ht="33" x14ac:dyDescent="0.25">
      <c r="A591" s="6" t="s">
        <v>1309</v>
      </c>
      <c r="B591" s="7"/>
      <c r="C591" s="7"/>
      <c r="D591" s="7" t="s">
        <v>1310</v>
      </c>
      <c r="E591" s="7" t="s">
        <v>1311</v>
      </c>
      <c r="F591" s="7" t="s">
        <v>46</v>
      </c>
    </row>
    <row r="592" spans="1:6" ht="33" x14ac:dyDescent="0.25">
      <c r="A592" s="6" t="s">
        <v>1324</v>
      </c>
      <c r="B592" s="7"/>
      <c r="C592" s="7"/>
      <c r="D592" s="7" t="s">
        <v>1325</v>
      </c>
      <c r="E592" s="7" t="s">
        <v>1326</v>
      </c>
      <c r="F592" s="7" t="s">
        <v>74</v>
      </c>
    </row>
    <row r="593" spans="1:6" ht="33" x14ac:dyDescent="0.25">
      <c r="A593" s="6" t="s">
        <v>1353</v>
      </c>
      <c r="B593" s="7"/>
      <c r="C593" s="7"/>
      <c r="D593" s="7" t="s">
        <v>1354</v>
      </c>
      <c r="E593" s="7" t="s">
        <v>1355</v>
      </c>
      <c r="F593" s="7" t="s">
        <v>74</v>
      </c>
    </row>
    <row r="594" spans="1:6" ht="33" x14ac:dyDescent="0.25">
      <c r="A594" s="6" t="s">
        <v>1361</v>
      </c>
      <c r="B594" s="7"/>
      <c r="C594" s="7"/>
      <c r="D594" s="7" t="s">
        <v>1362</v>
      </c>
      <c r="E594" s="7" t="s">
        <v>1363</v>
      </c>
      <c r="F594" s="7" t="s">
        <v>13</v>
      </c>
    </row>
    <row r="595" spans="1:6" ht="33" x14ac:dyDescent="0.25">
      <c r="A595" s="6" t="s">
        <v>1368</v>
      </c>
      <c r="B595" s="7"/>
      <c r="C595" s="7"/>
      <c r="D595" s="7" t="s">
        <v>1369</v>
      </c>
      <c r="E595" s="7" t="s">
        <v>1370</v>
      </c>
      <c r="F595" s="7" t="s">
        <v>13</v>
      </c>
    </row>
    <row r="596" spans="1:6" ht="33" x14ac:dyDescent="0.25">
      <c r="A596" s="6" t="s">
        <v>1390</v>
      </c>
      <c r="B596" s="7"/>
      <c r="C596" s="7"/>
      <c r="D596" s="7" t="s">
        <v>1391</v>
      </c>
      <c r="E596" s="7" t="s">
        <v>1392</v>
      </c>
      <c r="F596" s="7" t="s">
        <v>13</v>
      </c>
    </row>
    <row r="597" spans="1:6" ht="33" x14ac:dyDescent="0.25">
      <c r="A597" s="6" t="s">
        <v>1430</v>
      </c>
      <c r="B597" s="7"/>
      <c r="C597" s="7" t="s">
        <v>2608</v>
      </c>
      <c r="D597" s="7" t="s">
        <v>27</v>
      </c>
      <c r="E597" s="7" t="s">
        <v>1431</v>
      </c>
      <c r="F597" s="7" t="s">
        <v>74</v>
      </c>
    </row>
    <row r="598" spans="1:6" ht="66" x14ac:dyDescent="0.25">
      <c r="A598" s="6" t="s">
        <v>1502</v>
      </c>
      <c r="B598" s="7"/>
      <c r="C598" s="7"/>
      <c r="D598" s="7" t="s">
        <v>1503</v>
      </c>
      <c r="E598" s="7" t="s">
        <v>1504</v>
      </c>
      <c r="F598" s="7" t="s">
        <v>74</v>
      </c>
    </row>
    <row r="599" spans="1:6" x14ac:dyDescent="0.25">
      <c r="A599" s="6" t="s">
        <v>1505</v>
      </c>
      <c r="B599" s="7"/>
      <c r="C599" s="7"/>
      <c r="D599" s="7" t="s">
        <v>1506</v>
      </c>
      <c r="E599" s="7" t="s">
        <v>1507</v>
      </c>
      <c r="F599" s="7" t="s">
        <v>1508</v>
      </c>
    </row>
    <row r="600" spans="1:6" ht="49.5" x14ac:dyDescent="0.25">
      <c r="A600" s="6" t="s">
        <v>1535</v>
      </c>
      <c r="B600" s="7"/>
      <c r="C600" s="7"/>
      <c r="D600" s="7" t="s">
        <v>1536</v>
      </c>
      <c r="E600" s="7" t="s">
        <v>1537</v>
      </c>
      <c r="F600" s="7" t="s">
        <v>13</v>
      </c>
    </row>
    <row r="601" spans="1:6" ht="33" x14ac:dyDescent="0.25">
      <c r="A601" s="6" t="s">
        <v>1538</v>
      </c>
      <c r="B601" s="7"/>
      <c r="C601" s="7"/>
      <c r="D601" s="7" t="s">
        <v>1539</v>
      </c>
      <c r="E601" s="7" t="s">
        <v>1540</v>
      </c>
      <c r="F601" s="7" t="s">
        <v>57</v>
      </c>
    </row>
    <row r="602" spans="1:6" ht="49.5" x14ac:dyDescent="0.25">
      <c r="A602" s="6" t="s">
        <v>1545</v>
      </c>
      <c r="B602" s="7"/>
      <c r="C602" s="7"/>
      <c r="D602" s="7" t="s">
        <v>1546</v>
      </c>
      <c r="E602" s="7" t="s">
        <v>1547</v>
      </c>
      <c r="F602" s="7" t="s">
        <v>145</v>
      </c>
    </row>
    <row r="603" spans="1:6" ht="33" x14ac:dyDescent="0.25">
      <c r="A603" s="6" t="s">
        <v>1568</v>
      </c>
      <c r="B603" s="7"/>
      <c r="C603" s="7"/>
      <c r="D603" s="7" t="s">
        <v>1569</v>
      </c>
      <c r="E603" s="7" t="s">
        <v>1570</v>
      </c>
      <c r="F603" s="7" t="s">
        <v>145</v>
      </c>
    </row>
    <row r="604" spans="1:6" ht="33" x14ac:dyDescent="0.25">
      <c r="A604" s="6" t="s">
        <v>1606</v>
      </c>
      <c r="B604" s="7"/>
      <c r="C604" s="7" t="s">
        <v>1607</v>
      </c>
      <c r="D604" s="7" t="s">
        <v>1608</v>
      </c>
      <c r="E604" s="7" t="s">
        <v>1609</v>
      </c>
      <c r="F604" s="7" t="s">
        <v>145</v>
      </c>
    </row>
    <row r="605" spans="1:6" ht="33" x14ac:dyDescent="0.25">
      <c r="A605" s="6" t="s">
        <v>1614</v>
      </c>
      <c r="B605" s="7"/>
      <c r="C605" s="7"/>
      <c r="D605" s="7" t="s">
        <v>1615</v>
      </c>
      <c r="E605" s="7" t="s">
        <v>1616</v>
      </c>
      <c r="F605" s="7" t="s">
        <v>145</v>
      </c>
    </row>
    <row r="606" spans="1:6" ht="33" x14ac:dyDescent="0.25">
      <c r="A606" s="6" t="s">
        <v>1617</v>
      </c>
      <c r="B606" s="7"/>
      <c r="C606" s="7"/>
      <c r="D606" s="7" t="s">
        <v>1618</v>
      </c>
      <c r="E606" s="7" t="s">
        <v>1619</v>
      </c>
      <c r="F606" s="7" t="s">
        <v>13</v>
      </c>
    </row>
    <row r="607" spans="1:6" ht="33" x14ac:dyDescent="0.25">
      <c r="A607" s="6" t="s">
        <v>1620</v>
      </c>
      <c r="B607" s="7"/>
      <c r="C607" s="7" t="s">
        <v>1109</v>
      </c>
      <c r="D607" s="7" t="s">
        <v>1621</v>
      </c>
      <c r="E607" s="7" t="s">
        <v>1622</v>
      </c>
      <c r="F607" s="7" t="s">
        <v>74</v>
      </c>
    </row>
    <row r="608" spans="1:6" ht="33" x14ac:dyDescent="0.25">
      <c r="A608" s="6" t="s">
        <v>1644</v>
      </c>
      <c r="B608" s="7"/>
      <c r="C608" s="7"/>
      <c r="D608" s="7" t="s">
        <v>1645</v>
      </c>
      <c r="E608" s="7" t="s">
        <v>1646</v>
      </c>
      <c r="F608" s="7" t="s">
        <v>1647</v>
      </c>
    </row>
    <row r="609" spans="1:6" ht="33" x14ac:dyDescent="0.25">
      <c r="A609" s="6" t="s">
        <v>1652</v>
      </c>
      <c r="B609" s="7"/>
      <c r="C609" s="7"/>
      <c r="D609" s="7" t="s">
        <v>1653</v>
      </c>
      <c r="E609" s="7" t="s">
        <v>1654</v>
      </c>
      <c r="F609" s="7" t="s">
        <v>145</v>
      </c>
    </row>
    <row r="610" spans="1:6" ht="33" x14ac:dyDescent="0.25">
      <c r="A610" s="6" t="s">
        <v>1659</v>
      </c>
      <c r="B610" s="7"/>
      <c r="C610" s="7"/>
      <c r="D610" s="7" t="s">
        <v>1660</v>
      </c>
      <c r="E610" s="7" t="s">
        <v>1661</v>
      </c>
      <c r="F610" s="7" t="s">
        <v>145</v>
      </c>
    </row>
    <row r="611" spans="1:6" ht="33" x14ac:dyDescent="0.25">
      <c r="A611" s="6" t="s">
        <v>1670</v>
      </c>
      <c r="B611" s="7"/>
      <c r="C611" s="7"/>
      <c r="D611" s="7" t="s">
        <v>1671</v>
      </c>
      <c r="E611" s="7" t="s">
        <v>1672</v>
      </c>
      <c r="F611" s="7" t="s">
        <v>145</v>
      </c>
    </row>
    <row r="612" spans="1:6" ht="33" x14ac:dyDescent="0.25">
      <c r="A612" s="6" t="s">
        <v>1682</v>
      </c>
      <c r="B612" s="7"/>
      <c r="C612" s="7"/>
      <c r="D612" s="7" t="s">
        <v>1683</v>
      </c>
      <c r="E612" s="7" t="s">
        <v>1684</v>
      </c>
      <c r="F612" s="7" t="s">
        <v>13</v>
      </c>
    </row>
    <row r="613" spans="1:6" ht="49.5" x14ac:dyDescent="0.25">
      <c r="A613" s="6" t="s">
        <v>1742</v>
      </c>
      <c r="B613" s="7"/>
      <c r="C613" s="7" t="s">
        <v>1743</v>
      </c>
      <c r="D613" s="7" t="s">
        <v>1744</v>
      </c>
      <c r="E613" s="7" t="s">
        <v>1745</v>
      </c>
      <c r="F613" s="7" t="s">
        <v>13</v>
      </c>
    </row>
    <row r="614" spans="1:6" x14ac:dyDescent="0.25">
      <c r="A614" s="6" t="s">
        <v>1762</v>
      </c>
      <c r="B614" s="7"/>
      <c r="C614" s="7"/>
      <c r="D614" s="7" t="s">
        <v>1763</v>
      </c>
      <c r="E614" s="7" t="s">
        <v>1764</v>
      </c>
      <c r="F614" s="7" t="s">
        <v>74</v>
      </c>
    </row>
    <row r="615" spans="1:6" ht="33" x14ac:dyDescent="0.25">
      <c r="A615" s="6" t="s">
        <v>1790</v>
      </c>
      <c r="B615" s="7"/>
      <c r="C615" s="7"/>
      <c r="D615" s="7" t="s">
        <v>1791</v>
      </c>
      <c r="E615" s="7" t="s">
        <v>1792</v>
      </c>
      <c r="F615" s="7" t="s">
        <v>145</v>
      </c>
    </row>
    <row r="616" spans="1:6" ht="33" x14ac:dyDescent="0.25">
      <c r="A616" s="6" t="s">
        <v>1797</v>
      </c>
      <c r="B616" s="7"/>
      <c r="C616" s="7"/>
      <c r="D616" s="7" t="s">
        <v>1798</v>
      </c>
      <c r="E616" s="7" t="s">
        <v>1799</v>
      </c>
      <c r="F616" s="7" t="s">
        <v>145</v>
      </c>
    </row>
    <row r="617" spans="1:6" ht="33" x14ac:dyDescent="0.25">
      <c r="A617" s="6" t="s">
        <v>1804</v>
      </c>
      <c r="B617" s="7"/>
      <c r="C617" s="7"/>
      <c r="D617" s="7" t="s">
        <v>1805</v>
      </c>
      <c r="E617" s="7" t="s">
        <v>1806</v>
      </c>
      <c r="F617" s="7" t="s">
        <v>145</v>
      </c>
    </row>
    <row r="618" spans="1:6" ht="33" x14ac:dyDescent="0.25">
      <c r="A618" s="6" t="s">
        <v>1810</v>
      </c>
      <c r="B618" s="7"/>
      <c r="C618" s="7"/>
      <c r="D618" s="7" t="s">
        <v>1811</v>
      </c>
      <c r="E618" s="7" t="s">
        <v>1812</v>
      </c>
      <c r="F618" s="7" t="s">
        <v>145</v>
      </c>
    </row>
    <row r="619" spans="1:6" ht="49.5" x14ac:dyDescent="0.25">
      <c r="A619" s="6" t="s">
        <v>1821</v>
      </c>
      <c r="B619" s="7"/>
      <c r="C619" s="7" t="s">
        <v>1822</v>
      </c>
      <c r="D619" s="7" t="s">
        <v>507</v>
      </c>
      <c r="E619" s="7" t="s">
        <v>1823</v>
      </c>
      <c r="F619" s="7" t="s">
        <v>74</v>
      </c>
    </row>
    <row r="620" spans="1:6" ht="33" x14ac:dyDescent="0.25">
      <c r="A620" s="6" t="s">
        <v>1827</v>
      </c>
      <c r="B620" s="7"/>
      <c r="C620" s="7"/>
      <c r="D620" s="7" t="s">
        <v>1828</v>
      </c>
      <c r="E620" s="7" t="s">
        <v>1829</v>
      </c>
      <c r="F620" s="7" t="s">
        <v>74</v>
      </c>
    </row>
    <row r="621" spans="1:6" ht="33" x14ac:dyDescent="0.25">
      <c r="A621" s="6" t="s">
        <v>1862</v>
      </c>
      <c r="B621" s="7"/>
      <c r="C621" s="7" t="s">
        <v>1059</v>
      </c>
      <c r="D621" s="7" t="s">
        <v>1863</v>
      </c>
      <c r="E621" s="7" t="s">
        <v>1864</v>
      </c>
      <c r="F621" s="7" t="s">
        <v>145</v>
      </c>
    </row>
    <row r="622" spans="1:6" ht="33" x14ac:dyDescent="0.25">
      <c r="A622" s="6" t="s">
        <v>1877</v>
      </c>
      <c r="B622" s="7"/>
      <c r="C622" s="7"/>
      <c r="D622" s="7" t="s">
        <v>1878</v>
      </c>
      <c r="E622" s="7" t="s">
        <v>1879</v>
      </c>
      <c r="F622" s="7" t="s">
        <v>145</v>
      </c>
    </row>
    <row r="623" spans="1:6" ht="49.5" x14ac:dyDescent="0.25">
      <c r="A623" s="6" t="s">
        <v>1888</v>
      </c>
      <c r="B623" s="7"/>
      <c r="C623" s="7"/>
      <c r="D623" s="7" t="s">
        <v>1889</v>
      </c>
      <c r="E623" s="7" t="s">
        <v>1890</v>
      </c>
      <c r="F623" s="7" t="s">
        <v>145</v>
      </c>
    </row>
    <row r="624" spans="1:6" ht="33" x14ac:dyDescent="0.25">
      <c r="A624" s="6" t="s">
        <v>1891</v>
      </c>
      <c r="B624" s="7"/>
      <c r="C624" s="7" t="s">
        <v>1395</v>
      </c>
      <c r="D624" s="7" t="s">
        <v>1811</v>
      </c>
      <c r="E624" s="7" t="s">
        <v>1892</v>
      </c>
      <c r="F624" s="7" t="s">
        <v>46</v>
      </c>
    </row>
    <row r="625" spans="1:6" ht="33" x14ac:dyDescent="0.25">
      <c r="A625" s="6" t="s">
        <v>1901</v>
      </c>
      <c r="B625" s="7"/>
      <c r="C625" s="7"/>
      <c r="D625" s="7" t="s">
        <v>1902</v>
      </c>
      <c r="E625" s="7" t="s">
        <v>1903</v>
      </c>
      <c r="F625" s="7" t="s">
        <v>145</v>
      </c>
    </row>
    <row r="626" spans="1:6" ht="49.5" x14ac:dyDescent="0.25">
      <c r="A626" s="6" t="s">
        <v>1904</v>
      </c>
      <c r="B626" s="7"/>
      <c r="C626" s="7"/>
      <c r="D626" s="7" t="s">
        <v>1905</v>
      </c>
      <c r="E626" s="7" t="s">
        <v>1906</v>
      </c>
      <c r="F626" s="7" t="s">
        <v>145</v>
      </c>
    </row>
    <row r="627" spans="1:6" ht="33" x14ac:dyDescent="0.25">
      <c r="A627" s="6" t="s">
        <v>1907</v>
      </c>
      <c r="B627" s="7"/>
      <c r="C627" s="7"/>
      <c r="D627" s="7" t="s">
        <v>1908</v>
      </c>
      <c r="E627" s="7" t="s">
        <v>1909</v>
      </c>
      <c r="F627" s="7" t="s">
        <v>145</v>
      </c>
    </row>
    <row r="628" spans="1:6" ht="49.5" x14ac:dyDescent="0.25">
      <c r="A628" s="6" t="s">
        <v>1910</v>
      </c>
      <c r="B628" s="7"/>
      <c r="C628" s="7"/>
      <c r="D628" s="7" t="s">
        <v>1911</v>
      </c>
      <c r="E628" s="7" t="s">
        <v>1912</v>
      </c>
      <c r="F628" s="7" t="s">
        <v>145</v>
      </c>
    </row>
    <row r="629" spans="1:6" ht="33" x14ac:dyDescent="0.25">
      <c r="A629" s="6" t="s">
        <v>1921</v>
      </c>
      <c r="B629" s="7"/>
      <c r="C629" s="7"/>
      <c r="D629" s="7" t="s">
        <v>1922</v>
      </c>
      <c r="E629" s="7" t="s">
        <v>1923</v>
      </c>
      <c r="F629" s="7" t="s">
        <v>145</v>
      </c>
    </row>
    <row r="630" spans="1:6" x14ac:dyDescent="0.25">
      <c r="A630" s="6" t="s">
        <v>1943</v>
      </c>
      <c r="B630" s="7"/>
      <c r="C630" s="7"/>
      <c r="D630" s="7" t="s">
        <v>1944</v>
      </c>
      <c r="E630" s="7" t="s">
        <v>1945</v>
      </c>
      <c r="F630" s="7" t="s">
        <v>74</v>
      </c>
    </row>
    <row r="631" spans="1:6" ht="49.5" x14ac:dyDescent="0.25">
      <c r="A631" s="6" t="s">
        <v>1965</v>
      </c>
      <c r="B631" s="7"/>
      <c r="C631" s="7"/>
      <c r="D631" s="7" t="s">
        <v>1966</v>
      </c>
      <c r="E631" s="7" t="s">
        <v>1967</v>
      </c>
      <c r="F631" s="7" t="s">
        <v>145</v>
      </c>
    </row>
    <row r="632" spans="1:6" ht="33" x14ac:dyDescent="0.25">
      <c r="A632" s="6" t="s">
        <v>1976</v>
      </c>
      <c r="B632" s="7"/>
      <c r="C632" s="7"/>
      <c r="D632" s="7" t="s">
        <v>1977</v>
      </c>
      <c r="E632" s="7" t="s">
        <v>1978</v>
      </c>
      <c r="F632" s="7" t="s">
        <v>145</v>
      </c>
    </row>
    <row r="633" spans="1:6" ht="33" x14ac:dyDescent="0.25">
      <c r="A633" s="6" t="s">
        <v>1979</v>
      </c>
      <c r="B633" s="7"/>
      <c r="C633" s="7"/>
      <c r="D633" s="7" t="s">
        <v>1980</v>
      </c>
      <c r="E633" s="7" t="s">
        <v>1981</v>
      </c>
      <c r="F633" s="7" t="s">
        <v>145</v>
      </c>
    </row>
    <row r="634" spans="1:6" ht="49.5" x14ac:dyDescent="0.25">
      <c r="A634" s="6" t="s">
        <v>1982</v>
      </c>
      <c r="B634" s="7"/>
      <c r="C634" s="7"/>
      <c r="D634" s="7" t="s">
        <v>1983</v>
      </c>
      <c r="E634" s="7" t="s">
        <v>1984</v>
      </c>
      <c r="F634" s="7" t="s">
        <v>74</v>
      </c>
    </row>
    <row r="635" spans="1:6" ht="33" x14ac:dyDescent="0.25">
      <c r="A635" s="6" t="s">
        <v>1985</v>
      </c>
      <c r="B635" s="7"/>
      <c r="C635" s="7"/>
      <c r="D635" s="7" t="s">
        <v>1986</v>
      </c>
      <c r="E635" s="7" t="s">
        <v>1987</v>
      </c>
      <c r="F635" s="7" t="s">
        <v>57</v>
      </c>
    </row>
    <row r="636" spans="1:6" ht="33" x14ac:dyDescent="0.25">
      <c r="A636" s="6" t="s">
        <v>1992</v>
      </c>
      <c r="B636" s="7"/>
      <c r="C636" s="7"/>
      <c r="D636" s="7" t="s">
        <v>1084</v>
      </c>
      <c r="E636" s="7" t="s">
        <v>1993</v>
      </c>
      <c r="F636" s="7" t="s">
        <v>74</v>
      </c>
    </row>
    <row r="637" spans="1:6" ht="33" x14ac:dyDescent="0.25">
      <c r="A637" s="6" t="s">
        <v>2007</v>
      </c>
      <c r="B637" s="7"/>
      <c r="C637" s="7" t="s">
        <v>1041</v>
      </c>
      <c r="D637" s="7" t="s">
        <v>1581</v>
      </c>
      <c r="E637" s="7" t="s">
        <v>2008</v>
      </c>
      <c r="F637" s="7" t="s">
        <v>26</v>
      </c>
    </row>
    <row r="638" spans="1:6" ht="33" x14ac:dyDescent="0.25">
      <c r="A638" s="6" t="s">
        <v>2025</v>
      </c>
      <c r="B638" s="7"/>
      <c r="C638" s="7"/>
      <c r="D638" s="7" t="s">
        <v>1802</v>
      </c>
      <c r="E638" s="7" t="s">
        <v>2026</v>
      </c>
      <c r="F638" s="7" t="s">
        <v>145</v>
      </c>
    </row>
    <row r="639" spans="1:6" ht="33" x14ac:dyDescent="0.25">
      <c r="A639" s="6" t="s">
        <v>2027</v>
      </c>
      <c r="B639" s="7"/>
      <c r="C639" s="7"/>
      <c r="D639" s="7" t="s">
        <v>2028</v>
      </c>
      <c r="E639" s="7" t="s">
        <v>2029</v>
      </c>
      <c r="F639" s="7" t="s">
        <v>2030</v>
      </c>
    </row>
    <row r="640" spans="1:6" ht="33" x14ac:dyDescent="0.25">
      <c r="A640" s="6" t="s">
        <v>2039</v>
      </c>
      <c r="B640" s="7"/>
      <c r="C640" s="7"/>
      <c r="D640" s="7" t="s">
        <v>2040</v>
      </c>
      <c r="E640" s="7" t="s">
        <v>2041</v>
      </c>
      <c r="F640" s="7" t="s">
        <v>57</v>
      </c>
    </row>
    <row r="641" spans="1:6" ht="33" x14ac:dyDescent="0.25">
      <c r="A641" s="6" t="s">
        <v>2046</v>
      </c>
      <c r="B641" s="7"/>
      <c r="C641" s="7"/>
      <c r="D641" s="7" t="s">
        <v>2047</v>
      </c>
      <c r="E641" s="7" t="s">
        <v>2048</v>
      </c>
      <c r="F641" s="7" t="s">
        <v>2049</v>
      </c>
    </row>
    <row r="642" spans="1:6" ht="49.5" x14ac:dyDescent="0.25">
      <c r="A642" s="6" t="s">
        <v>2062</v>
      </c>
      <c r="B642" s="7"/>
      <c r="C642" s="7"/>
      <c r="D642" s="7" t="s">
        <v>2063</v>
      </c>
      <c r="E642" s="7" t="s">
        <v>2064</v>
      </c>
      <c r="F642" s="7" t="s">
        <v>145</v>
      </c>
    </row>
    <row r="643" spans="1:6" ht="49.5" x14ac:dyDescent="0.25">
      <c r="A643" s="6" t="s">
        <v>2065</v>
      </c>
      <c r="B643" s="7"/>
      <c r="C643" s="7"/>
      <c r="D643" s="7" t="s">
        <v>2063</v>
      </c>
      <c r="E643" s="7" t="s">
        <v>2066</v>
      </c>
      <c r="F643" s="7" t="s">
        <v>145</v>
      </c>
    </row>
    <row r="644" spans="1:6" ht="33" x14ac:dyDescent="0.25">
      <c r="A644" s="6" t="s">
        <v>2067</v>
      </c>
      <c r="B644" s="7"/>
      <c r="C644" s="7"/>
      <c r="D644" s="7" t="s">
        <v>2068</v>
      </c>
      <c r="E644" s="7" t="s">
        <v>2069</v>
      </c>
      <c r="F644" s="7" t="s">
        <v>145</v>
      </c>
    </row>
    <row r="645" spans="1:6" ht="33" x14ac:dyDescent="0.25">
      <c r="A645" s="6" t="s">
        <v>2070</v>
      </c>
      <c r="B645" s="7"/>
      <c r="C645" s="7"/>
      <c r="D645" s="7" t="s">
        <v>2071</v>
      </c>
      <c r="E645" s="7" t="s">
        <v>2072</v>
      </c>
      <c r="F645" s="7" t="s">
        <v>145</v>
      </c>
    </row>
    <row r="646" spans="1:6" ht="33" x14ac:dyDescent="0.25">
      <c r="A646" s="6" t="s">
        <v>2073</v>
      </c>
      <c r="B646" s="7"/>
      <c r="C646" s="7"/>
      <c r="D646" s="7" t="s">
        <v>2074</v>
      </c>
      <c r="E646" s="7" t="s">
        <v>2075</v>
      </c>
      <c r="F646" s="7" t="s">
        <v>46</v>
      </c>
    </row>
    <row r="647" spans="1:6" ht="33" x14ac:dyDescent="0.25">
      <c r="A647" s="6" t="s">
        <v>2076</v>
      </c>
      <c r="B647" s="7"/>
      <c r="C647" s="7"/>
      <c r="D647" s="7" t="s">
        <v>1585</v>
      </c>
      <c r="E647" s="7" t="s">
        <v>2077</v>
      </c>
      <c r="F647" s="7" t="s">
        <v>145</v>
      </c>
    </row>
    <row r="648" spans="1:6" ht="33" x14ac:dyDescent="0.25">
      <c r="A648" s="6" t="s">
        <v>2078</v>
      </c>
      <c r="B648" s="7"/>
      <c r="C648" s="7"/>
      <c r="D648" s="7" t="s">
        <v>2079</v>
      </c>
      <c r="E648" s="7" t="s">
        <v>2080</v>
      </c>
      <c r="F648" s="7" t="s">
        <v>57</v>
      </c>
    </row>
    <row r="649" spans="1:6" ht="33" x14ac:dyDescent="0.25">
      <c r="A649" s="6" t="s">
        <v>2112</v>
      </c>
      <c r="B649" s="7"/>
      <c r="C649" s="7"/>
      <c r="D649" s="7" t="s">
        <v>2113</v>
      </c>
      <c r="E649" s="7" t="s">
        <v>2114</v>
      </c>
      <c r="F649" s="7" t="s">
        <v>145</v>
      </c>
    </row>
    <row r="650" spans="1:6" ht="33" x14ac:dyDescent="0.25">
      <c r="A650" s="6" t="s">
        <v>2119</v>
      </c>
      <c r="B650" s="7"/>
      <c r="C650" s="7" t="s">
        <v>2120</v>
      </c>
      <c r="D650" s="7" t="s">
        <v>2121</v>
      </c>
      <c r="E650" s="7" t="s">
        <v>2122</v>
      </c>
      <c r="F650" s="7" t="s">
        <v>57</v>
      </c>
    </row>
    <row r="651" spans="1:6" ht="33" x14ac:dyDescent="0.25">
      <c r="A651" s="6" t="s">
        <v>2182</v>
      </c>
      <c r="B651" s="7"/>
      <c r="C651" s="7"/>
      <c r="D651" s="7" t="s">
        <v>1878</v>
      </c>
      <c r="E651" s="7" t="s">
        <v>2183</v>
      </c>
      <c r="F651" s="7" t="s">
        <v>145</v>
      </c>
    </row>
    <row r="652" spans="1:6" ht="33" x14ac:dyDescent="0.25">
      <c r="A652" s="6" t="s">
        <v>2193</v>
      </c>
      <c r="B652" s="7"/>
      <c r="C652" s="7"/>
      <c r="D652" s="7" t="s">
        <v>1573</v>
      </c>
      <c r="E652" s="7" t="s">
        <v>2194</v>
      </c>
      <c r="F652" s="7" t="s">
        <v>145</v>
      </c>
    </row>
    <row r="653" spans="1:6" ht="33" x14ac:dyDescent="0.25">
      <c r="A653" s="6" t="s">
        <v>2195</v>
      </c>
      <c r="B653" s="7"/>
      <c r="C653" s="7"/>
      <c r="D653" s="7" t="s">
        <v>2196</v>
      </c>
      <c r="E653" s="7" t="s">
        <v>2197</v>
      </c>
      <c r="F653" s="7" t="s">
        <v>145</v>
      </c>
    </row>
    <row r="654" spans="1:6" ht="33" x14ac:dyDescent="0.25">
      <c r="A654" s="6" t="s">
        <v>2201</v>
      </c>
      <c r="B654" s="7"/>
      <c r="C654" s="7" t="s">
        <v>1059</v>
      </c>
      <c r="D654" s="7" t="s">
        <v>2202</v>
      </c>
      <c r="E654" s="7" t="s">
        <v>2203</v>
      </c>
      <c r="F654" s="7" t="s">
        <v>145</v>
      </c>
    </row>
    <row r="655" spans="1:6" ht="33" x14ac:dyDescent="0.25">
      <c r="A655" s="6" t="s">
        <v>2204</v>
      </c>
      <c r="B655" s="7"/>
      <c r="C655" s="7"/>
      <c r="D655" s="7" t="s">
        <v>2205</v>
      </c>
      <c r="E655" s="7" t="s">
        <v>2206</v>
      </c>
      <c r="F655" s="7" t="s">
        <v>145</v>
      </c>
    </row>
    <row r="656" spans="1:6" ht="49.5" x14ac:dyDescent="0.25">
      <c r="A656" s="6" t="s">
        <v>2241</v>
      </c>
      <c r="B656" s="7"/>
      <c r="C656" s="7"/>
      <c r="D656" s="7" t="s">
        <v>2242</v>
      </c>
      <c r="E656" s="7" t="s">
        <v>2243</v>
      </c>
      <c r="F656" s="7" t="s">
        <v>2244</v>
      </c>
    </row>
    <row r="657" spans="1:6" ht="33" x14ac:dyDescent="0.25">
      <c r="A657" s="6" t="s">
        <v>2249</v>
      </c>
      <c r="B657" s="7"/>
      <c r="C657" s="7"/>
      <c r="D657" s="7" t="s">
        <v>1050</v>
      </c>
      <c r="E657" s="7" t="s">
        <v>2250</v>
      </c>
      <c r="F657" s="7" t="s">
        <v>145</v>
      </c>
    </row>
    <row r="658" spans="1:6" ht="33" x14ac:dyDescent="0.25">
      <c r="A658" s="6" t="s">
        <v>2271</v>
      </c>
      <c r="B658" s="7"/>
      <c r="C658" s="7"/>
      <c r="D658" s="7" t="s">
        <v>2272</v>
      </c>
      <c r="E658" s="7" t="s">
        <v>2273</v>
      </c>
      <c r="F658" s="7" t="s">
        <v>145</v>
      </c>
    </row>
    <row r="659" spans="1:6" ht="33" x14ac:dyDescent="0.25">
      <c r="A659" s="6" t="s">
        <v>2274</v>
      </c>
      <c r="B659" s="7"/>
      <c r="C659" s="7"/>
      <c r="D659" s="7" t="s">
        <v>1638</v>
      </c>
      <c r="E659" s="7" t="s">
        <v>2275</v>
      </c>
      <c r="F659" s="7" t="s">
        <v>145</v>
      </c>
    </row>
    <row r="660" spans="1:6" ht="33" x14ac:dyDescent="0.25">
      <c r="A660" s="6" t="s">
        <v>2276</v>
      </c>
      <c r="B660" s="7"/>
      <c r="C660" s="7"/>
      <c r="D660" s="7" t="s">
        <v>2277</v>
      </c>
      <c r="E660" s="7" t="s">
        <v>2278</v>
      </c>
      <c r="F660" s="7" t="s">
        <v>13</v>
      </c>
    </row>
    <row r="661" spans="1:6" ht="33" x14ac:dyDescent="0.25">
      <c r="A661" s="6" t="s">
        <v>2279</v>
      </c>
      <c r="B661" s="7"/>
      <c r="C661" s="7"/>
      <c r="D661" s="7" t="s">
        <v>2280</v>
      </c>
      <c r="E661" s="7" t="s">
        <v>2281</v>
      </c>
      <c r="F661" s="7" t="s">
        <v>57</v>
      </c>
    </row>
    <row r="662" spans="1:6" ht="33" x14ac:dyDescent="0.25">
      <c r="A662" s="6" t="s">
        <v>2282</v>
      </c>
      <c r="B662" s="7"/>
      <c r="C662" s="7" t="s">
        <v>1629</v>
      </c>
      <c r="D662" s="7" t="s">
        <v>2283</v>
      </c>
      <c r="E662" s="7" t="s">
        <v>2284</v>
      </c>
      <c r="F662" s="7" t="s">
        <v>57</v>
      </c>
    </row>
    <row r="663" spans="1:6" ht="33" x14ac:dyDescent="0.25">
      <c r="A663" s="6" t="s">
        <v>2285</v>
      </c>
      <c r="B663" s="7"/>
      <c r="C663" s="7"/>
      <c r="D663" s="7" t="s">
        <v>1676</v>
      </c>
      <c r="E663" s="7" t="s">
        <v>2286</v>
      </c>
      <c r="F663" s="7" t="s">
        <v>74</v>
      </c>
    </row>
    <row r="664" spans="1:6" ht="33" x14ac:dyDescent="0.25">
      <c r="A664" s="6" t="s">
        <v>2287</v>
      </c>
      <c r="B664" s="7"/>
      <c r="C664" s="7"/>
      <c r="D664" s="7" t="s">
        <v>301</v>
      </c>
      <c r="E664" s="7" t="s">
        <v>2288</v>
      </c>
      <c r="F664" s="7" t="s">
        <v>13</v>
      </c>
    </row>
    <row r="665" spans="1:6" ht="33" x14ac:dyDescent="0.25">
      <c r="A665" s="6" t="s">
        <v>2289</v>
      </c>
      <c r="B665" s="7"/>
      <c r="C665" s="7"/>
      <c r="D665" s="7" t="s">
        <v>2290</v>
      </c>
      <c r="E665" s="7" t="s">
        <v>2291</v>
      </c>
      <c r="F665" s="7" t="s">
        <v>13</v>
      </c>
    </row>
    <row r="666" spans="1:6" ht="33" x14ac:dyDescent="0.25">
      <c r="A666" s="6" t="s">
        <v>2292</v>
      </c>
      <c r="B666" s="7"/>
      <c r="C666" s="7"/>
      <c r="D666" s="7" t="s">
        <v>2293</v>
      </c>
      <c r="E666" s="7" t="s">
        <v>2294</v>
      </c>
      <c r="F666" s="7" t="s">
        <v>145</v>
      </c>
    </row>
    <row r="667" spans="1:6" ht="33" x14ac:dyDescent="0.25">
      <c r="A667" s="6" t="s">
        <v>2295</v>
      </c>
      <c r="B667" s="7"/>
      <c r="C667" s="7"/>
      <c r="D667" s="7" t="s">
        <v>2296</v>
      </c>
      <c r="E667" s="7" t="s">
        <v>2297</v>
      </c>
      <c r="F667" s="7" t="s">
        <v>13</v>
      </c>
    </row>
    <row r="668" spans="1:6" ht="33" x14ac:dyDescent="0.25">
      <c r="A668" s="6" t="s">
        <v>2298</v>
      </c>
      <c r="B668" s="7"/>
      <c r="C668" s="7"/>
      <c r="D668" s="7" t="s">
        <v>2299</v>
      </c>
      <c r="E668" s="7" t="s">
        <v>2300</v>
      </c>
      <c r="F668" s="7" t="s">
        <v>13</v>
      </c>
    </row>
    <row r="669" spans="1:6" ht="33" x14ac:dyDescent="0.25">
      <c r="A669" s="6" t="s">
        <v>2301</v>
      </c>
      <c r="B669" s="7"/>
      <c r="C669" s="7"/>
      <c r="D669" s="7" t="s">
        <v>2277</v>
      </c>
      <c r="E669" s="7" t="s">
        <v>2302</v>
      </c>
      <c r="F669" s="7" t="s">
        <v>13</v>
      </c>
    </row>
    <row r="670" spans="1:6" ht="33" x14ac:dyDescent="0.25">
      <c r="A670" s="6" t="s">
        <v>2303</v>
      </c>
      <c r="B670" s="7"/>
      <c r="C670" s="7"/>
      <c r="D670" s="7" t="s">
        <v>2216</v>
      </c>
      <c r="E670" s="7" t="s">
        <v>2304</v>
      </c>
      <c r="F670" s="7" t="s">
        <v>1382</v>
      </c>
    </row>
    <row r="671" spans="1:6" ht="33" x14ac:dyDescent="0.25">
      <c r="A671" s="6" t="s">
        <v>2305</v>
      </c>
      <c r="B671" s="7"/>
      <c r="C671" s="7"/>
      <c r="D671" s="7" t="s">
        <v>2306</v>
      </c>
      <c r="E671" s="7" t="s">
        <v>2307</v>
      </c>
      <c r="F671" s="7" t="s">
        <v>13</v>
      </c>
    </row>
    <row r="672" spans="1:6" ht="33" x14ac:dyDescent="0.25">
      <c r="A672" s="6" t="s">
        <v>2308</v>
      </c>
      <c r="B672" s="7"/>
      <c r="C672" s="7" t="s">
        <v>1395</v>
      </c>
      <c r="D672" s="7" t="s">
        <v>2001</v>
      </c>
      <c r="E672" s="7" t="s">
        <v>2309</v>
      </c>
      <c r="F672" s="7" t="s">
        <v>46</v>
      </c>
    </row>
    <row r="673" spans="1:6" ht="33" x14ac:dyDescent="0.25">
      <c r="A673" s="6" t="s">
        <v>2310</v>
      </c>
      <c r="B673" s="7"/>
      <c r="C673" s="7"/>
      <c r="D673" s="7" t="s">
        <v>2001</v>
      </c>
      <c r="E673" s="7" t="s">
        <v>2311</v>
      </c>
      <c r="F673" s="7" t="s">
        <v>145</v>
      </c>
    </row>
    <row r="674" spans="1:6" ht="33" x14ac:dyDescent="0.25">
      <c r="A674" s="6" t="s">
        <v>2334</v>
      </c>
      <c r="B674" s="7"/>
      <c r="C674" s="7"/>
      <c r="D674" s="7" t="s">
        <v>2335</v>
      </c>
      <c r="E674" s="7" t="s">
        <v>2336</v>
      </c>
      <c r="F674" s="7" t="s">
        <v>57</v>
      </c>
    </row>
    <row r="675" spans="1:6" ht="33" x14ac:dyDescent="0.25">
      <c r="A675" s="6" t="s">
        <v>2337</v>
      </c>
      <c r="B675" s="7"/>
      <c r="C675" s="7"/>
      <c r="D675" s="7" t="s">
        <v>2338</v>
      </c>
      <c r="E675" s="7" t="s">
        <v>2339</v>
      </c>
      <c r="F675" s="7" t="s">
        <v>2340</v>
      </c>
    </row>
    <row r="676" spans="1:6" ht="49.5" x14ac:dyDescent="0.25">
      <c r="A676" s="6" t="s">
        <v>2345</v>
      </c>
      <c r="B676" s="7"/>
      <c r="C676" s="7" t="s">
        <v>1059</v>
      </c>
      <c r="D676" s="7" t="s">
        <v>1680</v>
      </c>
      <c r="E676" s="7" t="s">
        <v>2346</v>
      </c>
      <c r="F676" s="7" t="s">
        <v>145</v>
      </c>
    </row>
    <row r="677" spans="1:6" ht="33" x14ac:dyDescent="0.25">
      <c r="A677" s="6" t="s">
        <v>2347</v>
      </c>
      <c r="B677" s="7"/>
      <c r="C677" s="7"/>
      <c r="D677" s="7" t="s">
        <v>1805</v>
      </c>
      <c r="E677" s="7" t="s">
        <v>2348</v>
      </c>
      <c r="F677" s="7" t="s">
        <v>74</v>
      </c>
    </row>
    <row r="678" spans="1:6" ht="33" x14ac:dyDescent="0.25">
      <c r="A678" s="6" t="s">
        <v>2349</v>
      </c>
      <c r="B678" s="7"/>
      <c r="C678" s="7"/>
      <c r="D678" s="7" t="s">
        <v>1878</v>
      </c>
      <c r="E678" s="7" t="s">
        <v>2350</v>
      </c>
      <c r="F678" s="7" t="s">
        <v>57</v>
      </c>
    </row>
    <row r="679" spans="1:6" ht="33" x14ac:dyDescent="0.25">
      <c r="A679" s="6" t="s">
        <v>2355</v>
      </c>
      <c r="B679" s="7"/>
      <c r="C679" s="7"/>
      <c r="D679" s="7" t="s">
        <v>2205</v>
      </c>
      <c r="E679" s="7" t="s">
        <v>2356</v>
      </c>
      <c r="F679" s="7" t="s">
        <v>1647</v>
      </c>
    </row>
    <row r="680" spans="1:6" ht="33" x14ac:dyDescent="0.25">
      <c r="A680" s="6" t="s">
        <v>2360</v>
      </c>
      <c r="B680" s="7"/>
      <c r="C680" s="7"/>
      <c r="D680" s="7" t="s">
        <v>2361</v>
      </c>
      <c r="E680" s="7" t="s">
        <v>2362</v>
      </c>
      <c r="F680" s="7" t="s">
        <v>46</v>
      </c>
    </row>
    <row r="681" spans="1:6" ht="33" x14ac:dyDescent="0.25">
      <c r="A681" s="6" t="s">
        <v>2382</v>
      </c>
      <c r="B681" s="7"/>
      <c r="C681" s="7"/>
      <c r="D681" s="7" t="s">
        <v>2383</v>
      </c>
      <c r="E681" s="7" t="s">
        <v>2384</v>
      </c>
      <c r="F681" s="7" t="s">
        <v>74</v>
      </c>
    </row>
    <row r="682" spans="1:6" ht="33" x14ac:dyDescent="0.25">
      <c r="A682" s="6" t="s">
        <v>2385</v>
      </c>
      <c r="B682" s="7"/>
      <c r="C682" s="7"/>
      <c r="D682" s="7" t="s">
        <v>2386</v>
      </c>
      <c r="E682" s="7" t="s">
        <v>2387</v>
      </c>
      <c r="F682" s="7" t="s">
        <v>46</v>
      </c>
    </row>
    <row r="683" spans="1:6" ht="33" x14ac:dyDescent="0.25">
      <c r="A683" s="6" t="s">
        <v>2388</v>
      </c>
      <c r="B683" s="7"/>
      <c r="C683" s="7"/>
      <c r="D683" s="7" t="s">
        <v>2389</v>
      </c>
      <c r="E683" s="7" t="s">
        <v>2390</v>
      </c>
      <c r="F683" s="7" t="s">
        <v>145</v>
      </c>
    </row>
    <row r="684" spans="1:6" ht="33" x14ac:dyDescent="0.25">
      <c r="A684" s="6" t="s">
        <v>2414</v>
      </c>
      <c r="B684" s="7"/>
      <c r="C684" s="7"/>
      <c r="D684" s="7" t="s">
        <v>2415</v>
      </c>
      <c r="E684" s="7" t="s">
        <v>2416</v>
      </c>
      <c r="F684" s="7" t="s">
        <v>145</v>
      </c>
    </row>
    <row r="685" spans="1:6" ht="33" x14ac:dyDescent="0.25">
      <c r="A685" s="6" t="s">
        <v>2417</v>
      </c>
      <c r="B685" s="7"/>
      <c r="C685" s="7"/>
      <c r="D685" s="7" t="s">
        <v>2418</v>
      </c>
      <c r="E685" s="7" t="s">
        <v>2419</v>
      </c>
      <c r="F685" s="7" t="s">
        <v>145</v>
      </c>
    </row>
    <row r="686" spans="1:6" ht="33" x14ac:dyDescent="0.25">
      <c r="A686" s="6" t="s">
        <v>2443</v>
      </c>
      <c r="B686" s="7"/>
      <c r="C686" s="7" t="s">
        <v>155</v>
      </c>
      <c r="D686" s="7" t="s">
        <v>27</v>
      </c>
      <c r="E686" s="7" t="s">
        <v>2444</v>
      </c>
      <c r="F686" s="7" t="s">
        <v>74</v>
      </c>
    </row>
    <row r="687" spans="1:6" ht="33" x14ac:dyDescent="0.25">
      <c r="A687" s="6" t="s">
        <v>2498</v>
      </c>
      <c r="B687" s="7"/>
      <c r="C687" s="7"/>
      <c r="D687" s="7" t="s">
        <v>2499</v>
      </c>
      <c r="E687" s="7" t="s">
        <v>2500</v>
      </c>
      <c r="F687" s="7" t="s">
        <v>145</v>
      </c>
    </row>
    <row r="688" spans="1:6" ht="33" x14ac:dyDescent="0.25">
      <c r="A688" s="6" t="s">
        <v>2501</v>
      </c>
      <c r="B688" s="7"/>
      <c r="C688" s="7"/>
      <c r="D688" s="7" t="s">
        <v>2502</v>
      </c>
      <c r="E688" s="7" t="s">
        <v>2503</v>
      </c>
      <c r="F688" s="7" t="s">
        <v>145</v>
      </c>
    </row>
    <row r="689" spans="1:6" ht="33" x14ac:dyDescent="0.25">
      <c r="A689" s="6" t="s">
        <v>2511</v>
      </c>
      <c r="B689" s="7"/>
      <c r="C689" s="7" t="s">
        <v>2512</v>
      </c>
      <c r="D689" s="7" t="s">
        <v>2513</v>
      </c>
      <c r="E689" s="7" t="s">
        <v>2514</v>
      </c>
      <c r="F689" s="7" t="s">
        <v>145</v>
      </c>
    </row>
    <row r="690" spans="1:6" ht="33" x14ac:dyDescent="0.25">
      <c r="A690" s="6" t="s">
        <v>2530</v>
      </c>
      <c r="B690" s="7"/>
      <c r="C690" s="7"/>
      <c r="D690" s="7" t="s">
        <v>2531</v>
      </c>
      <c r="E690" s="7" t="s">
        <v>2532</v>
      </c>
      <c r="F690" s="7" t="s">
        <v>74</v>
      </c>
    </row>
    <row r="691" spans="1:6" ht="33" x14ac:dyDescent="0.25">
      <c r="A691" s="6" t="s">
        <v>2533</v>
      </c>
      <c r="B691" s="7"/>
      <c r="C691" s="7" t="s">
        <v>155</v>
      </c>
      <c r="D691" s="7" t="s">
        <v>1600</v>
      </c>
      <c r="E691" s="7" t="s">
        <v>2534</v>
      </c>
      <c r="F691" s="7" t="s">
        <v>145</v>
      </c>
    </row>
    <row r="692" spans="1:6" ht="33" x14ac:dyDescent="0.25">
      <c r="A692" s="6" t="s">
        <v>2543</v>
      </c>
      <c r="B692" s="7"/>
      <c r="C692" s="7"/>
      <c r="D692" s="7" t="s">
        <v>2431</v>
      </c>
      <c r="E692" s="7" t="s">
        <v>2544</v>
      </c>
      <c r="F692" s="7" t="s">
        <v>74</v>
      </c>
    </row>
    <row r="693" spans="1:6" ht="33" x14ac:dyDescent="0.25">
      <c r="A693" s="6" t="s">
        <v>2557</v>
      </c>
      <c r="B693" s="7"/>
      <c r="C693" s="7"/>
      <c r="D693" s="7" t="s">
        <v>2558</v>
      </c>
      <c r="E693" s="7" t="s">
        <v>2559</v>
      </c>
      <c r="F693" s="7" t="s">
        <v>2560</v>
      </c>
    </row>
    <row r="694" spans="1:6" ht="49.5" x14ac:dyDescent="0.25">
      <c r="A694" s="6" t="s">
        <v>2561</v>
      </c>
      <c r="B694" s="7"/>
      <c r="C694" s="7"/>
      <c r="D694" s="7" t="s">
        <v>2562</v>
      </c>
      <c r="E694" s="7" t="s">
        <v>2563</v>
      </c>
      <c r="F694" s="7" t="s">
        <v>74</v>
      </c>
    </row>
    <row r="695" spans="1:6" ht="33" x14ac:dyDescent="0.25">
      <c r="A695" s="6" t="s">
        <v>2568</v>
      </c>
      <c r="B695" s="7"/>
      <c r="C695" s="7"/>
      <c r="D695" s="7" t="s">
        <v>2569</v>
      </c>
      <c r="E695" s="7" t="s">
        <v>2570</v>
      </c>
      <c r="F695" s="7" t="s">
        <v>74</v>
      </c>
    </row>
    <row r="696" spans="1:6" ht="33" x14ac:dyDescent="0.25">
      <c r="A696" s="6" t="s">
        <v>2571</v>
      </c>
      <c r="B696" s="7"/>
      <c r="C696" s="7"/>
      <c r="D696" s="7" t="s">
        <v>2572</v>
      </c>
      <c r="E696" s="7" t="s">
        <v>2573</v>
      </c>
      <c r="F696" s="7" t="s">
        <v>74</v>
      </c>
    </row>
    <row r="697" spans="1:6" ht="33" x14ac:dyDescent="0.25">
      <c r="A697" s="6" t="s">
        <v>2574</v>
      </c>
      <c r="B697" s="7"/>
      <c r="C697" s="7"/>
      <c r="D697" s="7" t="s">
        <v>2575</v>
      </c>
      <c r="E697" s="7" t="s">
        <v>2576</v>
      </c>
      <c r="F697" s="7" t="s">
        <v>145</v>
      </c>
    </row>
    <row r="698" spans="1:6" ht="33" x14ac:dyDescent="0.25">
      <c r="A698" s="6" t="s">
        <v>2577</v>
      </c>
      <c r="B698" s="7"/>
      <c r="C698" s="7"/>
      <c r="D698" s="7" t="s">
        <v>2578</v>
      </c>
      <c r="E698" s="7" t="s">
        <v>2579</v>
      </c>
      <c r="F698" s="7" t="s">
        <v>74</v>
      </c>
    </row>
    <row r="699" spans="1:6" ht="33" x14ac:dyDescent="0.25">
      <c r="A699" s="6" t="s">
        <v>2584</v>
      </c>
      <c r="B699" s="7"/>
      <c r="C699" s="7"/>
      <c r="D699" s="7" t="s">
        <v>2585</v>
      </c>
      <c r="E699" s="7" t="s">
        <v>2586</v>
      </c>
      <c r="F699" s="7" t="s">
        <v>145</v>
      </c>
    </row>
    <row r="700" spans="1:6" ht="33" x14ac:dyDescent="0.25">
      <c r="A700" s="6" t="s">
        <v>2596</v>
      </c>
      <c r="B700" s="7"/>
      <c r="C700" s="7"/>
      <c r="D700" s="7" t="s">
        <v>2597</v>
      </c>
      <c r="E700" s="7" t="s">
        <v>2598</v>
      </c>
      <c r="F700" s="7" t="s">
        <v>74</v>
      </c>
    </row>
    <row r="701" spans="1:6" x14ac:dyDescent="0.25">
      <c r="A701" s="19"/>
    </row>
    <row r="702" spans="1:6" x14ac:dyDescent="0.25">
      <c r="A702" s="19"/>
    </row>
    <row r="703" spans="1:6" x14ac:dyDescent="0.25">
      <c r="A703" s="19"/>
    </row>
    <row r="704" spans="1:6" x14ac:dyDescent="0.25">
      <c r="A704" s="19"/>
    </row>
    <row r="705" spans="1:1" x14ac:dyDescent="0.25">
      <c r="A705" s="19"/>
    </row>
    <row r="706" spans="1:1" x14ac:dyDescent="0.25">
      <c r="A706" s="19"/>
    </row>
    <row r="707" spans="1:1" x14ac:dyDescent="0.25">
      <c r="A707" s="19"/>
    </row>
    <row r="708" spans="1:1" x14ac:dyDescent="0.25">
      <c r="A708" s="19"/>
    </row>
    <row r="709" spans="1:1" x14ac:dyDescent="0.25">
      <c r="A709" s="19"/>
    </row>
    <row r="710" spans="1:1" x14ac:dyDescent="0.25">
      <c r="A710" s="19"/>
    </row>
    <row r="711" spans="1:1" x14ac:dyDescent="0.25">
      <c r="A711" s="19"/>
    </row>
    <row r="712" spans="1:1" x14ac:dyDescent="0.25">
      <c r="A712" s="19"/>
    </row>
    <row r="713" spans="1:1" x14ac:dyDescent="0.25">
      <c r="A713" s="19"/>
    </row>
    <row r="714" spans="1:1" x14ac:dyDescent="0.25">
      <c r="A714" s="19"/>
    </row>
    <row r="715" spans="1:1" x14ac:dyDescent="0.25">
      <c r="A715" s="19"/>
    </row>
    <row r="716" spans="1:1" x14ac:dyDescent="0.25">
      <c r="A716" s="19"/>
    </row>
    <row r="717" spans="1:1" x14ac:dyDescent="0.25">
      <c r="A717" s="19"/>
    </row>
    <row r="718" spans="1:1" x14ac:dyDescent="0.25">
      <c r="A718" s="19"/>
    </row>
    <row r="719" spans="1:1" x14ac:dyDescent="0.25">
      <c r="A719" s="19"/>
    </row>
    <row r="720" spans="1:1" x14ac:dyDescent="0.25">
      <c r="A720" s="19"/>
    </row>
    <row r="721" spans="1:1" x14ac:dyDescent="0.25">
      <c r="A721" s="19"/>
    </row>
    <row r="722" spans="1:1" x14ac:dyDescent="0.25">
      <c r="A722" s="19"/>
    </row>
    <row r="723" spans="1:1" x14ac:dyDescent="0.25">
      <c r="A723" s="19"/>
    </row>
    <row r="724" spans="1:1" x14ac:dyDescent="0.25">
      <c r="A724" s="19"/>
    </row>
    <row r="725" spans="1:1" x14ac:dyDescent="0.25">
      <c r="A725" s="19"/>
    </row>
    <row r="726" spans="1:1" x14ac:dyDescent="0.25">
      <c r="A726" s="19"/>
    </row>
    <row r="727" spans="1:1" x14ac:dyDescent="0.25">
      <c r="A727" s="19"/>
    </row>
    <row r="728" spans="1:1" x14ac:dyDescent="0.25">
      <c r="A728" s="19"/>
    </row>
    <row r="729" spans="1:1" x14ac:dyDescent="0.25">
      <c r="A729" s="19"/>
    </row>
    <row r="730" spans="1:1" x14ac:dyDescent="0.25">
      <c r="A730" s="19"/>
    </row>
    <row r="731" spans="1:1" x14ac:dyDescent="0.25">
      <c r="A731" s="19"/>
    </row>
    <row r="732" spans="1:1" x14ac:dyDescent="0.25">
      <c r="A732" s="19"/>
    </row>
    <row r="733" spans="1:1" x14ac:dyDescent="0.25">
      <c r="A733" s="19"/>
    </row>
    <row r="734" spans="1:1" x14ac:dyDescent="0.25">
      <c r="A734" s="19"/>
    </row>
    <row r="735" spans="1:1" x14ac:dyDescent="0.25">
      <c r="A735" s="19"/>
    </row>
    <row r="736" spans="1:1" x14ac:dyDescent="0.25">
      <c r="A736" s="19"/>
    </row>
    <row r="737" spans="1:1" x14ac:dyDescent="0.25">
      <c r="A737" s="19"/>
    </row>
    <row r="738" spans="1:1" x14ac:dyDescent="0.25">
      <c r="A738" s="19"/>
    </row>
    <row r="739" spans="1:1" x14ac:dyDescent="0.25">
      <c r="A739" s="19"/>
    </row>
    <row r="740" spans="1:1" x14ac:dyDescent="0.25">
      <c r="A740" s="19"/>
    </row>
    <row r="741" spans="1:1" x14ac:dyDescent="0.25">
      <c r="A741" s="19"/>
    </row>
    <row r="742" spans="1:1" x14ac:dyDescent="0.25">
      <c r="A742" s="19"/>
    </row>
    <row r="743" spans="1:1" x14ac:dyDescent="0.25">
      <c r="A743" s="19"/>
    </row>
    <row r="744" spans="1:1" x14ac:dyDescent="0.25">
      <c r="A744" s="19"/>
    </row>
    <row r="745" spans="1:1" x14ac:dyDescent="0.25">
      <c r="A745" s="19"/>
    </row>
    <row r="746" spans="1:1" x14ac:dyDescent="0.25">
      <c r="A746" s="19"/>
    </row>
    <row r="747" spans="1:1" x14ac:dyDescent="0.25">
      <c r="A747" s="19"/>
    </row>
    <row r="748" spans="1:1" x14ac:dyDescent="0.25">
      <c r="A748" s="19"/>
    </row>
    <row r="749" spans="1:1" x14ac:dyDescent="0.25">
      <c r="A749" s="19"/>
    </row>
    <row r="750" spans="1:1" x14ac:dyDescent="0.25">
      <c r="A750" s="19"/>
    </row>
    <row r="751" spans="1:1" x14ac:dyDescent="0.25">
      <c r="A751" s="19"/>
    </row>
    <row r="752" spans="1:1" x14ac:dyDescent="0.25">
      <c r="A752" s="19"/>
    </row>
    <row r="753" spans="1:1" x14ac:dyDescent="0.25">
      <c r="A753" s="19"/>
    </row>
    <row r="754" spans="1:1" x14ac:dyDescent="0.25">
      <c r="A754" s="19"/>
    </row>
    <row r="755" spans="1:1" x14ac:dyDescent="0.25">
      <c r="A755" s="19"/>
    </row>
    <row r="756" spans="1:1" x14ac:dyDescent="0.25">
      <c r="A756" s="19"/>
    </row>
    <row r="757" spans="1:1" x14ac:dyDescent="0.25">
      <c r="A757" s="19"/>
    </row>
    <row r="758" spans="1:1" x14ac:dyDescent="0.25">
      <c r="A758" s="19"/>
    </row>
    <row r="759" spans="1:1" x14ac:dyDescent="0.25">
      <c r="A759" s="19"/>
    </row>
    <row r="760" spans="1:1" x14ac:dyDescent="0.25">
      <c r="A760" s="19"/>
    </row>
    <row r="761" spans="1:1" x14ac:dyDescent="0.25">
      <c r="A761" s="19"/>
    </row>
    <row r="762" spans="1:1" x14ac:dyDescent="0.25">
      <c r="A762" s="19"/>
    </row>
    <row r="763" spans="1:1" x14ac:dyDescent="0.25">
      <c r="A763" s="19"/>
    </row>
    <row r="764" spans="1:1" x14ac:dyDescent="0.25">
      <c r="A764" s="19"/>
    </row>
    <row r="765" spans="1:1" x14ac:dyDescent="0.25">
      <c r="A765" s="19"/>
    </row>
    <row r="766" spans="1:1" x14ac:dyDescent="0.25">
      <c r="A766" s="19"/>
    </row>
    <row r="767" spans="1:1" x14ac:dyDescent="0.25">
      <c r="A767" s="19"/>
    </row>
    <row r="768" spans="1:1" x14ac:dyDescent="0.25">
      <c r="A768" s="19"/>
    </row>
    <row r="769" spans="1:1" x14ac:dyDescent="0.25">
      <c r="A769" s="19"/>
    </row>
    <row r="770" spans="1:1" x14ac:dyDescent="0.25">
      <c r="A770" s="19"/>
    </row>
    <row r="771" spans="1:1" x14ac:dyDescent="0.25">
      <c r="A771" s="19"/>
    </row>
    <row r="772" spans="1:1" x14ac:dyDescent="0.25">
      <c r="A772" s="19"/>
    </row>
    <row r="773" spans="1:1" x14ac:dyDescent="0.25">
      <c r="A773" s="19"/>
    </row>
    <row r="774" spans="1:1" x14ac:dyDescent="0.25">
      <c r="A774" s="19"/>
    </row>
    <row r="775" spans="1:1" x14ac:dyDescent="0.25">
      <c r="A775" s="19"/>
    </row>
    <row r="776" spans="1:1" x14ac:dyDescent="0.25">
      <c r="A776" s="19"/>
    </row>
    <row r="777" spans="1:1" x14ac:dyDescent="0.25">
      <c r="A777" s="19"/>
    </row>
    <row r="778" spans="1:1" x14ac:dyDescent="0.25">
      <c r="A778" s="19"/>
    </row>
    <row r="779" spans="1:1" x14ac:dyDescent="0.25">
      <c r="A779" s="19"/>
    </row>
    <row r="780" spans="1:1" x14ac:dyDescent="0.25">
      <c r="A780" s="19"/>
    </row>
    <row r="781" spans="1:1" x14ac:dyDescent="0.25">
      <c r="A781" s="19"/>
    </row>
    <row r="782" spans="1:1" x14ac:dyDescent="0.25">
      <c r="A782" s="19"/>
    </row>
    <row r="783" spans="1:1" x14ac:dyDescent="0.25">
      <c r="A783" s="19"/>
    </row>
    <row r="784" spans="1:1" x14ac:dyDescent="0.25">
      <c r="A784" s="19"/>
    </row>
    <row r="785" spans="1:1" x14ac:dyDescent="0.25">
      <c r="A785" s="19"/>
    </row>
    <row r="786" spans="1:1" x14ac:dyDescent="0.25">
      <c r="A786" s="19"/>
    </row>
    <row r="787" spans="1:1" x14ac:dyDescent="0.25">
      <c r="A787" s="19"/>
    </row>
    <row r="788" spans="1:1" x14ac:dyDescent="0.25">
      <c r="A788" s="19"/>
    </row>
    <row r="789" spans="1:1" x14ac:dyDescent="0.25">
      <c r="A789" s="19"/>
    </row>
    <row r="790" spans="1:1" x14ac:dyDescent="0.25">
      <c r="A790" s="19"/>
    </row>
    <row r="791" spans="1:1" x14ac:dyDescent="0.25">
      <c r="A791" s="19"/>
    </row>
    <row r="792" spans="1:1" x14ac:dyDescent="0.25">
      <c r="A792" s="19"/>
    </row>
    <row r="793" spans="1:1" x14ac:dyDescent="0.25">
      <c r="A793" s="19"/>
    </row>
    <row r="794" spans="1:1" x14ac:dyDescent="0.25">
      <c r="A794" s="19"/>
    </row>
    <row r="795" spans="1:1" x14ac:dyDescent="0.25">
      <c r="A795" s="19"/>
    </row>
    <row r="796" spans="1:1" x14ac:dyDescent="0.25">
      <c r="A796" s="19"/>
    </row>
    <row r="797" spans="1:1" x14ac:dyDescent="0.25">
      <c r="A797" s="19"/>
    </row>
    <row r="798" spans="1:1" x14ac:dyDescent="0.25">
      <c r="A798" s="19"/>
    </row>
    <row r="799" spans="1:1" x14ac:dyDescent="0.25">
      <c r="A799" s="19"/>
    </row>
    <row r="800" spans="1:1" x14ac:dyDescent="0.25">
      <c r="A800" s="19"/>
    </row>
    <row r="801" spans="1:1" x14ac:dyDescent="0.25">
      <c r="A801" s="19"/>
    </row>
    <row r="802" spans="1:1" x14ac:dyDescent="0.25">
      <c r="A802" s="19"/>
    </row>
    <row r="803" spans="1:1" x14ac:dyDescent="0.25">
      <c r="A803" s="19"/>
    </row>
    <row r="804" spans="1:1" x14ac:dyDescent="0.25">
      <c r="A804" s="19"/>
    </row>
    <row r="805" spans="1:1" x14ac:dyDescent="0.25">
      <c r="A805" s="19"/>
    </row>
    <row r="806" spans="1:1" x14ac:dyDescent="0.25">
      <c r="A806" s="19"/>
    </row>
    <row r="807" spans="1:1" x14ac:dyDescent="0.25">
      <c r="A807" s="19"/>
    </row>
    <row r="808" spans="1:1" x14ac:dyDescent="0.25">
      <c r="A808" s="19"/>
    </row>
    <row r="809" spans="1:1" x14ac:dyDescent="0.25">
      <c r="A809" s="19"/>
    </row>
    <row r="810" spans="1:1" x14ac:dyDescent="0.25">
      <c r="A810" s="19"/>
    </row>
    <row r="811" spans="1:1" x14ac:dyDescent="0.25">
      <c r="A811" s="19"/>
    </row>
    <row r="812" spans="1:1" x14ac:dyDescent="0.25">
      <c r="A812" s="19"/>
    </row>
    <row r="813" spans="1:1" x14ac:dyDescent="0.25">
      <c r="A813" s="19"/>
    </row>
    <row r="814" spans="1:1" x14ac:dyDescent="0.25">
      <c r="A814" s="19"/>
    </row>
    <row r="815" spans="1:1" x14ac:dyDescent="0.25">
      <c r="A815" s="19"/>
    </row>
    <row r="816" spans="1:1" x14ac:dyDescent="0.25">
      <c r="A816" s="19"/>
    </row>
    <row r="817" spans="1:1" x14ac:dyDescent="0.25">
      <c r="A817" s="19"/>
    </row>
    <row r="818" spans="1:1" x14ac:dyDescent="0.25">
      <c r="A818" s="19"/>
    </row>
    <row r="819" spans="1:1" x14ac:dyDescent="0.25">
      <c r="A819" s="19"/>
    </row>
    <row r="820" spans="1:1" x14ac:dyDescent="0.25">
      <c r="A820" s="19"/>
    </row>
    <row r="821" spans="1:1" x14ac:dyDescent="0.25">
      <c r="A821" s="19"/>
    </row>
    <row r="822" spans="1:1" x14ac:dyDescent="0.25">
      <c r="A822" s="19"/>
    </row>
    <row r="823" spans="1:1" x14ac:dyDescent="0.25">
      <c r="A823" s="19"/>
    </row>
    <row r="824" spans="1:1" x14ac:dyDescent="0.25">
      <c r="A824" s="19"/>
    </row>
    <row r="825" spans="1:1" x14ac:dyDescent="0.25">
      <c r="A825" s="19"/>
    </row>
    <row r="826" spans="1:1" x14ac:dyDescent="0.25">
      <c r="A826" s="19"/>
    </row>
    <row r="827" spans="1:1" x14ac:dyDescent="0.25">
      <c r="A827" s="19"/>
    </row>
    <row r="828" spans="1:1" x14ac:dyDescent="0.25">
      <c r="A828" s="19"/>
    </row>
    <row r="829" spans="1:1" x14ac:dyDescent="0.25">
      <c r="A829" s="19"/>
    </row>
    <row r="830" spans="1:1" x14ac:dyDescent="0.25">
      <c r="A830" s="19"/>
    </row>
    <row r="831" spans="1:1" x14ac:dyDescent="0.25">
      <c r="A831" s="19"/>
    </row>
    <row r="832" spans="1:1" x14ac:dyDescent="0.25">
      <c r="A832" s="19"/>
    </row>
    <row r="833" spans="1:1" x14ac:dyDescent="0.25">
      <c r="A833" s="19"/>
    </row>
    <row r="834" spans="1:1" x14ac:dyDescent="0.25">
      <c r="A834" s="19"/>
    </row>
    <row r="835" spans="1:1" x14ac:dyDescent="0.25">
      <c r="A835" s="19"/>
    </row>
    <row r="836" spans="1:1" x14ac:dyDescent="0.25">
      <c r="A836" s="19"/>
    </row>
    <row r="837" spans="1:1" x14ac:dyDescent="0.25">
      <c r="A837" s="19"/>
    </row>
    <row r="838" spans="1:1" x14ac:dyDescent="0.25">
      <c r="A838" s="19"/>
    </row>
    <row r="839" spans="1:1" x14ac:dyDescent="0.25">
      <c r="A839" s="19"/>
    </row>
    <row r="840" spans="1:1" x14ac:dyDescent="0.25">
      <c r="A840" s="19"/>
    </row>
    <row r="841" spans="1:1" x14ac:dyDescent="0.25">
      <c r="A841" s="19"/>
    </row>
    <row r="842" spans="1:1" x14ac:dyDescent="0.25">
      <c r="A842" s="19"/>
    </row>
    <row r="843" spans="1:1" x14ac:dyDescent="0.25">
      <c r="A843" s="19"/>
    </row>
    <row r="844" spans="1:1" x14ac:dyDescent="0.25">
      <c r="A844" s="19"/>
    </row>
    <row r="845" spans="1:1" x14ac:dyDescent="0.25">
      <c r="A845" s="19"/>
    </row>
    <row r="846" spans="1:1" x14ac:dyDescent="0.25">
      <c r="A846" s="19"/>
    </row>
    <row r="847" spans="1:1" x14ac:dyDescent="0.25">
      <c r="A847" s="19"/>
    </row>
    <row r="848" spans="1:1" x14ac:dyDescent="0.25">
      <c r="A848" s="19"/>
    </row>
    <row r="849" spans="1:1" x14ac:dyDescent="0.25">
      <c r="A849" s="19"/>
    </row>
    <row r="850" spans="1:1" x14ac:dyDescent="0.25">
      <c r="A850" s="19"/>
    </row>
    <row r="851" spans="1:1" x14ac:dyDescent="0.25">
      <c r="A851" s="19"/>
    </row>
    <row r="852" spans="1:1" x14ac:dyDescent="0.25">
      <c r="A852" s="19"/>
    </row>
    <row r="853" spans="1:1" x14ac:dyDescent="0.25">
      <c r="A853" s="19"/>
    </row>
    <row r="854" spans="1:1" x14ac:dyDescent="0.25">
      <c r="A854" s="19"/>
    </row>
    <row r="855" spans="1:1" x14ac:dyDescent="0.25">
      <c r="A855" s="19"/>
    </row>
    <row r="856" spans="1:1" x14ac:dyDescent="0.25">
      <c r="A856" s="19"/>
    </row>
    <row r="857" spans="1:1" x14ac:dyDescent="0.25">
      <c r="A857" s="19"/>
    </row>
    <row r="858" spans="1:1" x14ac:dyDescent="0.25">
      <c r="A858" s="19"/>
    </row>
    <row r="859" spans="1:1" x14ac:dyDescent="0.25">
      <c r="A859" s="19"/>
    </row>
    <row r="860" spans="1:1" x14ac:dyDescent="0.25">
      <c r="A860" s="19"/>
    </row>
    <row r="861" spans="1:1" x14ac:dyDescent="0.25">
      <c r="A861" s="19"/>
    </row>
    <row r="862" spans="1:1" x14ac:dyDescent="0.25">
      <c r="A862" s="19"/>
    </row>
    <row r="863" spans="1:1" x14ac:dyDescent="0.25">
      <c r="A863" s="19"/>
    </row>
    <row r="864" spans="1:1" x14ac:dyDescent="0.25">
      <c r="A864" s="19"/>
    </row>
    <row r="865" spans="1:1" x14ac:dyDescent="0.25">
      <c r="A865" s="19"/>
    </row>
    <row r="866" spans="1:1" x14ac:dyDescent="0.25">
      <c r="A866" s="19"/>
    </row>
    <row r="867" spans="1:1" x14ac:dyDescent="0.25">
      <c r="A867" s="19"/>
    </row>
    <row r="868" spans="1:1" x14ac:dyDescent="0.25">
      <c r="A868" s="19"/>
    </row>
    <row r="869" spans="1:1" x14ac:dyDescent="0.25">
      <c r="A869" s="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0087-DA71-469D-A4E3-F60620152EEB}">
  <dimension ref="A1:F167"/>
  <sheetViews>
    <sheetView topLeftCell="A160" workbookViewId="0">
      <selection activeCell="F134" sqref="F134"/>
    </sheetView>
  </sheetViews>
  <sheetFormatPr defaultRowHeight="38.25" customHeight="1" x14ac:dyDescent="0.3"/>
  <cols>
    <col min="1" max="1" width="81.42578125" style="20" customWidth="1"/>
    <col min="2" max="2" width="41.7109375" style="20" customWidth="1"/>
    <col min="3" max="3" width="15" style="20" customWidth="1"/>
    <col min="4" max="4" width="28.140625" style="20" customWidth="1"/>
    <col min="5" max="5" width="30" style="20" customWidth="1"/>
    <col min="6" max="6" width="32" style="20" customWidth="1"/>
    <col min="7" max="16384" width="9.140625" style="20"/>
  </cols>
  <sheetData>
    <row r="1" spans="1:6" ht="35.25" customHeight="1" x14ac:dyDescent="0.3">
      <c r="A1" s="1" t="s">
        <v>4</v>
      </c>
      <c r="B1" s="2" t="s">
        <v>5</v>
      </c>
      <c r="C1" s="3" t="s">
        <v>2</v>
      </c>
      <c r="D1" s="4" t="s">
        <v>3</v>
      </c>
      <c r="E1" s="5" t="s">
        <v>0</v>
      </c>
      <c r="F1" s="3" t="s">
        <v>1</v>
      </c>
    </row>
    <row r="2" spans="1:6" ht="38.25" customHeight="1" x14ac:dyDescent="0.3">
      <c r="A2" s="25" t="str">
        <f ca="1">IFERROR(__xludf.DUMMYFUNCTION("""COMPUTED_VALUE"""),"A critique of proportionality and balancing / Francisco Urbina.")</f>
        <v>A critique of proportionality and balancing / Francisco Urbina.</v>
      </c>
      <c r="B2" s="26" t="str">
        <f ca="1">IFERROR(__xludf.DUMMYFUNCTION("""COMPUTED_VALUE"""),"Urbina Molfino, Francisco Javier.")</f>
        <v>Urbina Molfino, Francisco Javier.</v>
      </c>
      <c r="C2" s="26" t="str">
        <f ca="1">IFERROR(__xludf.DUMMYFUNCTION("""COMPUTED_VALUE"""),"")</f>
        <v/>
      </c>
      <c r="D2" s="27" t="str">
        <f ca="1">IFERROR(__xludf.DUMMYFUNCTION("""COMPUTED_VALUE"""),"Cambridge [UK]    New York : Cambridge University Press, 2018.")</f>
        <v>Cambridge [UK]    New York : Cambridge University Press, 2018.</v>
      </c>
      <c r="E2" s="26" t="str">
        <f ca="1">IFERROR(__xludf.DUMMYFUNCTION("""COMPUTED_VALUE"""),"342 Urb c 2018")</f>
        <v>342 Urb c 2018</v>
      </c>
      <c r="F2" s="28" t="str">
        <f ca="1">IFERROR(__xludf.DUMMYFUNCTION("""COMPUTED_VALUE"""),"Αίθουσα Δημοσίου Δικαίου")</f>
        <v>Αίθουσα Δημοσίου Δικαίου</v>
      </c>
    </row>
    <row r="3" spans="1:6" ht="38.25" customHeight="1" x14ac:dyDescent="0.3">
      <c r="A3" s="25" t="str">
        <f ca="1">IFERROR(__xludf.DUMMYFUNCTION("""COMPUTED_VALUE"""),"Accessing asylum in Europe : extraterritorial border controls and refugee rights under Eu law / Violeta Moreno Lax.")</f>
        <v>Accessing asylum in Europe : extraterritorial border controls and refugee rights under Eu law / Violeta Moreno Lax.</v>
      </c>
      <c r="B3" s="26" t="str">
        <f ca="1">IFERROR(__xludf.DUMMYFUNCTION("""COMPUTED_VALUE"""),"Moreno-Lax, Violeta.")</f>
        <v>Moreno-Lax, Violeta.</v>
      </c>
      <c r="C3" s="26" t="str">
        <f ca="1">IFERROR(__xludf.DUMMYFUNCTION("""COMPUTED_VALUE"""),"")</f>
        <v/>
      </c>
      <c r="D3" s="27" t="str">
        <f ca="1">IFERROR(__xludf.DUMMYFUNCTION("""COMPUTED_VALUE"""),"Oxford : Oxford University Press, 2017.")</f>
        <v>Oxford : Oxford University Press, 2017.</v>
      </c>
      <c r="E3" s="26" t="str">
        <f ca="1">IFERROR(__xludf.DUMMYFUNCTION("""COMPUTED_VALUE"""),"341.43(4-672EU) MorV a 2017")</f>
        <v>341.43(4-672EU) MorV a 2017</v>
      </c>
      <c r="F3" s="28" t="str">
        <f ca="1">IFERROR(__xludf.DUMMYFUNCTION("""COMPUTED_VALUE"""),"Αίθουσα Διεθνούς Δικαίου και Εμπορικού Δικαίου")</f>
        <v>Αίθουσα Διεθνούς Δικαίου και Εμπορικού Δικαίου</v>
      </c>
    </row>
    <row r="4" spans="1:6" ht="72.75" customHeight="1" x14ac:dyDescent="0.3">
      <c r="A4" s="25" t="s">
        <v>2609</v>
      </c>
      <c r="B4" s="26" t="s">
        <v>2610</v>
      </c>
      <c r="C4" s="26" t="str">
        <f ca="1">IFERROR(__xludf.DUMMYFUNCTION("""COMPUTED_VALUE"""),"")</f>
        <v/>
      </c>
      <c r="D4" s="27" t="s">
        <v>2611</v>
      </c>
      <c r="E4" s="26" t="str">
        <f ca="1">IFERROR(__xludf.DUMMYFUNCTION("""COMPUTED_VALUE"""),"321.61(3)(063) ACI1977 1980")</f>
        <v>321.61(3)(063) ACI1977 1980</v>
      </c>
      <c r="F4" s="28" t="str">
        <f ca="1">IFERROR(__xludf.DUMMYFUNCTION("""COMPUTED_VALUE"""),"Αίθουσα ιστορίας, Θεωρίας και Φιλοσοφίας του Δικαίου")</f>
        <v>Αίθουσα ιστορίας, Θεωρίας και Φιλοσοφίας του Δικαίου</v>
      </c>
    </row>
    <row r="5" spans="1:6" ht="38.25" customHeight="1" x14ac:dyDescent="0.3">
      <c r="A5" s="25" t="str">
        <f ca="1">IFERROR(__xludf.DUMMYFUNCTION("""COMPUTED_VALUE"""),"Administrative law : text and materials / Mark Elliott, Jason N. E. Varuhas.")</f>
        <v>Administrative law : text and materials / Mark Elliott, Jason N. E. Varuhas.</v>
      </c>
      <c r="B5" s="26" t="str">
        <f ca="1">IFERROR(__xludf.DUMMYFUNCTION("""COMPUTED_VALUE"""),"Elliott, Mark, 1975-")</f>
        <v>Elliott, Mark, 1975-</v>
      </c>
      <c r="C5" s="26" t="str">
        <f ca="1">IFERROR(__xludf.DUMMYFUNCTION("""COMPUTED_VALUE"""),"5th ed.")</f>
        <v>5th ed.</v>
      </c>
      <c r="D5" s="27" t="str">
        <f ca="1">IFERROR(__xludf.DUMMYFUNCTION("""COMPUTED_VALUE"""),"Oxford, UK : Oxford University Press, 2017.")</f>
        <v>Oxford, UK : Oxford University Press, 2017.</v>
      </c>
      <c r="E5" s="26" t="str">
        <f ca="1">IFERROR(__xludf.DUMMYFUNCTION("""COMPUTED_VALUE"""),"342.9(410) EllM a 2017")</f>
        <v>342.9(410) EllM a 2017</v>
      </c>
      <c r="F5" s="28" t="str">
        <f ca="1">IFERROR(__xludf.DUMMYFUNCTION("""COMPUTED_VALUE"""),"Αίθουσα Δημοσίου Δικαίου")</f>
        <v>Αίθουσα Δημοσίου Δικαίου</v>
      </c>
    </row>
    <row r="6" spans="1:6" ht="38.25" customHeight="1" x14ac:dyDescent="0.3">
      <c r="A6" s="25" t="str">
        <f ca="1">IFERROR(__xludf.DUMMYFUNCTION("""COMPUTED_VALUE"""),"Advanced issues in international and European tax law /  Christiana HJI Panayi.")</f>
        <v>Advanced issues in international and European tax law /  Christiana HJI Panayi.</v>
      </c>
      <c r="B6" s="26" t="str">
        <f ca="1">IFERROR(__xludf.DUMMYFUNCTION("""COMPUTED_VALUE"""),"Panayi, Christiana H.J.I.")</f>
        <v>Panayi, Christiana H.J.I.</v>
      </c>
      <c r="C6" s="26" t="str">
        <f ca="1">IFERROR(__xludf.DUMMYFUNCTION("""COMPUTED_VALUE"""),"")</f>
        <v/>
      </c>
      <c r="D6" s="27" t="str">
        <f ca="1">IFERROR(__xludf.DUMMYFUNCTION("""COMPUTED_VALUE"""),"Oxford : Hart Publishing,  2018.")</f>
        <v>Oxford : Hart Publishing,  2018.</v>
      </c>
      <c r="E6" s="26" t="str">
        <f ca="1">IFERROR(__xludf.DUMMYFUNCTION("""COMPUTED_VALUE"""),"351.71(4-672EU) PanC a 2018")</f>
        <v>351.71(4-672EU) PanC a 2018</v>
      </c>
      <c r="F6" s="28" t="str">
        <f ca="1">IFERROR(__xludf.DUMMYFUNCTION("""COMPUTED_VALUE"""),"Αίθουσα Διεθνούς Δικαίου και Εμπορικού Δικαίου")</f>
        <v>Αίθουσα Διεθνούς Δικαίου και Εμπορικού Δικαίου</v>
      </c>
    </row>
    <row r="7" spans="1:6" ht="38.25" customHeight="1" x14ac:dyDescent="0.3">
      <c r="A7" s="25" t="str">
        <f ca="1">IFERROR(__xludf.DUMMYFUNCTION("""COMPUTED_VALUE"""),"Allocating authority : who should do what in European and international law? / edited by Joana Mendes and Ingo Venzke.")</f>
        <v>Allocating authority : who should do what in European and international law? / edited by Joana Mendes and Ingo Venzke.</v>
      </c>
      <c r="B7" s="26" t="str">
        <f ca="1">IFERROR(__xludf.DUMMYFUNCTION("""COMPUTED_VALUE"""),"")</f>
        <v/>
      </c>
      <c r="C7" s="26" t="str">
        <f ca="1">IFERROR(__xludf.DUMMYFUNCTION("""COMPUTED_VALUE"""),"")</f>
        <v/>
      </c>
      <c r="D7" s="27" t="str">
        <f ca="1">IFERROR(__xludf.DUMMYFUNCTION("""COMPUTED_VALUE"""),"Oxford, UK   Portland, OR : Hart Publishing, 2018.")</f>
        <v>Oxford, UK   Portland, OR : Hart Publishing, 2018.</v>
      </c>
      <c r="E7" s="26" t="str">
        <f ca="1">IFERROR(__xludf.DUMMYFUNCTION("""COMPUTED_VALUE"""),"341.1  MenJ a 2018")</f>
        <v>341.1  MenJ a 2018</v>
      </c>
      <c r="F7" s="28" t="str">
        <f ca="1">IFERROR(__xludf.DUMMYFUNCTION("""COMPUTED_VALUE"""),"Αίθουσα Δημοσίου Δικαίου")</f>
        <v>Αίθουσα Δημοσίου Δικαίου</v>
      </c>
    </row>
    <row r="8" spans="1:6" ht="38.25" customHeight="1" x14ac:dyDescent="0.3">
      <c r="A8" s="25" t="str">
        <f ca="1">IFERROR(__xludf.DUMMYFUNCTION("""COMPUTED_VALUE"""),"Antigone le Borgne : les débuts de sa carrière et les problèmes de lʹAssembleé macédonienne / par Pierre Briant.")</f>
        <v>Antigone le Borgne : les débuts de sa carrière et les problèmes de lʹAssembleé macédonienne / par Pierre Briant.</v>
      </c>
      <c r="B8" s="26" t="str">
        <f ca="1">IFERROR(__xludf.DUMMYFUNCTION("""COMPUTED_VALUE"""),"Briant, Pierre.")</f>
        <v>Briant, Pierre.</v>
      </c>
      <c r="C8" s="26" t="str">
        <f ca="1">IFERROR(__xludf.DUMMYFUNCTION("""COMPUTED_VALUE"""),"")</f>
        <v/>
      </c>
      <c r="D8" s="27" t="str">
        <f ca="1">IFERROR(__xludf.DUMMYFUNCTION("""COMPUTED_VALUE"""),"Paris : Belles Lettres, 1973.")</f>
        <v>Paris : Belles Lettres, 1973.</v>
      </c>
      <c r="E8" s="26" t="str">
        <f ca="1">IFERROR(__xludf.DUMMYFUNCTION("""COMPUTED_VALUE"""),"94(38)(092) BriP a 1973")</f>
        <v>94(38)(092) BriP a 1973</v>
      </c>
      <c r="F8" s="28" t="str">
        <f ca="1">IFERROR(__xludf.DUMMYFUNCTION("""COMPUTED_VALUE"""),"Αίθουσα Ιστορίας, Θεωρίας και Φιλοσοφίας του Δικαίου")</f>
        <v>Αίθουσα Ιστορίας, Θεωρίας και Φιλοσοφίας του Δικαίου</v>
      </c>
    </row>
    <row r="9" spans="1:6" ht="38.25" customHeight="1" x14ac:dyDescent="0.3">
      <c r="A9" s="25" t="str">
        <f ca="1">IFERROR(__xludf.DUMMYFUNCTION("""COMPUTED_VALUE"""),"Appeals before the Court of Justice of the European Union / Caroline Naômé.")</f>
        <v>Appeals before the Court of Justice of the European Union / Caroline Naômé.</v>
      </c>
      <c r="B9" s="26" t="str">
        <f ca="1">IFERROR(__xludf.DUMMYFUNCTION("""COMPUTED_VALUE"""),"Naômé, Caroline.")</f>
        <v>Naômé, Caroline.</v>
      </c>
      <c r="C9" s="26" t="str">
        <f ca="1">IFERROR(__xludf.DUMMYFUNCTION("""COMPUTED_VALUE"""),"")</f>
        <v/>
      </c>
      <c r="D9" s="27" t="str">
        <f ca="1">IFERROR(__xludf.DUMMYFUNCTION("""COMPUTED_VALUE"""),"Oxford, United Kingdom   New York, NY : Oxford University Press, 2018.")</f>
        <v>Oxford, United Kingdom   New York, NY : Oxford University Press, 2018.</v>
      </c>
      <c r="E9" s="26" t="str">
        <f ca="1">IFERROR(__xludf.DUMMYFUNCTION("""COMPUTED_VALUE"""),"341.645.5(4-672EU) NaoC a 2018")</f>
        <v>341.645.5(4-672EU) NaoC a 2018</v>
      </c>
      <c r="F9" s="28" t="str">
        <f ca="1">IFERROR(__xludf.DUMMYFUNCTION("""COMPUTED_VALUE"""),"Αίθουσα Διεθνούς Δικαίου και Εμπορικού Δικαίου")</f>
        <v>Αίθουσα Διεθνούς Δικαίου και Εμπορικού Δικαίου</v>
      </c>
    </row>
    <row r="10" spans="1:6" ht="38.25" customHeight="1" x14ac:dyDescent="0.3">
      <c r="A10" s="25" t="str">
        <f ca="1">IFERROR(__xludf.DUMMYFUNCTION("""COMPUTED_VALUE"""),"Behavioral law and economics / Eyal Zamir, Doron Teichman.")</f>
        <v>Behavioral law and economics / Eyal Zamir, Doron Teichman.</v>
      </c>
      <c r="B10" s="26" t="str">
        <f ca="1">IFERROR(__xludf.DUMMYFUNCTION("""COMPUTED_VALUE"""),"Zamir, Eyal.")</f>
        <v>Zamir, Eyal.</v>
      </c>
      <c r="C10" s="26" t="str">
        <f ca="1">IFERROR(__xludf.DUMMYFUNCTION("""COMPUTED_VALUE"""),"")</f>
        <v/>
      </c>
      <c r="D10" s="27" t="str">
        <f ca="1">IFERROR(__xludf.DUMMYFUNCTION("""COMPUTED_VALUE"""),"New York, NY : Oxford University Press, [2018]")</f>
        <v>New York, NY : Oxford University Press, [2018]</v>
      </c>
      <c r="E10" s="26" t="str">
        <f ca="1">IFERROR(__xludf.DUMMYFUNCTION("""COMPUTED_VALUE"""),"34:33 ZamE b 2018")</f>
        <v>34:33 ZamE b 2018</v>
      </c>
      <c r="F10" s="28" t="str">
        <f ca="1">IFERROR(__xludf.DUMMYFUNCTION("""COMPUTED_VALUE"""),"Αίθουσα Δημοσίου Δικαίου")</f>
        <v>Αίθουσα Δημοσίου Δικαίου</v>
      </c>
    </row>
    <row r="11" spans="1:6" ht="38.25" customHeight="1" x14ac:dyDescent="0.3">
      <c r="A11" s="25" t="str">
        <f ca="1">IFERROR(__xludf.DUMMYFUNCTION("""COMPUTED_VALUE"""),"British government and the constitution : text and materials / Colin Turpin, Adam Tomkins.")</f>
        <v>British government and the constitution : text and materials / Colin Turpin, Adam Tomkins.</v>
      </c>
      <c r="B11" s="26" t="str">
        <f ca="1">IFERROR(__xludf.DUMMYFUNCTION("""COMPUTED_VALUE"""),"Turpin, Colin.")</f>
        <v>Turpin, Colin.</v>
      </c>
      <c r="C11" s="26" t="str">
        <f ca="1">IFERROR(__xludf.DUMMYFUNCTION("""COMPUTED_VALUE"""),"7th ed.")</f>
        <v>7th ed.</v>
      </c>
      <c r="D11" s="27" t="str">
        <f ca="1">IFERROR(__xludf.DUMMYFUNCTION("""COMPUTED_VALUE"""),"Cambridge   New York : Cambridge University Press, 2012.")</f>
        <v>Cambridge   New York : Cambridge University Press, 2012.</v>
      </c>
      <c r="E11" s="26" t="str">
        <f ca="1">IFERROR(__xludf.DUMMYFUNCTION("""COMPUTED_VALUE"""),"342(410) TurC b 2012")</f>
        <v>342(410) TurC b 2012</v>
      </c>
      <c r="F11" s="28" t="str">
        <f ca="1">IFERROR(__xludf.DUMMYFUNCTION("""COMPUTED_VALUE"""),"Αίθουσα Δημοσίου Δικαίου")</f>
        <v>Αίθουσα Δημοσίου Δικαίου</v>
      </c>
    </row>
    <row r="12" spans="1:6" ht="60.75" customHeight="1" x14ac:dyDescent="0.3">
      <c r="A12" s="25" t="str">
        <f ca="1">IFERROR(__xludf.DUMMYFUNCTION("""COMPUTED_VALUE"""),"Carver on bills of lading")</f>
        <v>Carver on bills of lading</v>
      </c>
      <c r="B12" s="26" t="str">
        <f ca="1">IFERROR(__xludf.DUMMYFUNCTION("""COMPUTED_VALUE"""),"")</f>
        <v/>
      </c>
      <c r="C12" s="26" t="str">
        <f ca="1">IFERROR(__xludf.DUMMYFUNCTION("""COMPUTED_VALUE"""),"4th ed. by Guenter Treitel, F. M. B. Reynolds.")</f>
        <v>4th ed. by Guenter Treitel, F. M. B. Reynolds.</v>
      </c>
      <c r="D12" s="27" t="str">
        <f ca="1">IFERROR(__xludf.DUMMYFUNCTION("""COMPUTED_VALUE"""),"London: Sweet &amp; Maxwell  Thomson Reuters, 2017")</f>
        <v>London: Sweet &amp; Maxwell  Thomson Reuters, 2017</v>
      </c>
      <c r="E12" s="26" t="str">
        <f ca="1">IFERROR(__xludf.DUMMYFUNCTION("""COMPUTED_VALUE"""),"347.795.3(410) CarT c 2017")</f>
        <v>347.795.3(410) CarT c 2017</v>
      </c>
      <c r="F12" s="28" t="str">
        <f ca="1">IFERROR(__xludf.DUMMYFUNCTION("""COMPUTED_VALUE"""),"Αίθουσα Διεθνούς Δικαίου και Εμπορικού Δικαίου")</f>
        <v>Αίθουσα Διεθνούς Δικαίου και Εμπορικού Δικαίου</v>
      </c>
    </row>
    <row r="13" spans="1:6" ht="38.25" customHeight="1" x14ac:dyDescent="0.3">
      <c r="A13" s="25" t="str">
        <f ca="1">IFERROR(__xludf.DUMMYFUNCTION("""COMPUTED_VALUE"""),"Civil liability for accidents at sea / Sarah Fiona Gahlen.")</f>
        <v>Civil liability for accidents at sea / Sarah Fiona Gahlen.</v>
      </c>
      <c r="B13" s="26" t="str">
        <f ca="1">IFERROR(__xludf.DUMMYFUNCTION("""COMPUTED_VALUE"""),"Gahlen, Sarah Fiona.")</f>
        <v>Gahlen, Sarah Fiona.</v>
      </c>
      <c r="C13" s="26" t="str">
        <f ca="1">IFERROR(__xludf.DUMMYFUNCTION("""COMPUTED_VALUE"""),"")</f>
        <v/>
      </c>
      <c r="D13" s="27" t="str">
        <f ca="1">IFERROR(__xludf.DUMMYFUNCTION("""COMPUTED_VALUE"""),"Heidelberg : Springer, 2015.")</f>
        <v>Heidelberg : Springer, 2015.</v>
      </c>
      <c r="E13" s="26" t="str">
        <f ca="1">IFERROR(__xludf.DUMMYFUNCTION("""COMPUTED_VALUE"""),"347.799.2 GahS c 2015")</f>
        <v>347.799.2 GahS c 2015</v>
      </c>
      <c r="F13" s="28" t="str">
        <f ca="1">IFERROR(__xludf.DUMMYFUNCTION("""COMPUTED_VALUE"""),"Αίθουσα Διεθνούς δικαίου και Εμπορικού δικαίου")</f>
        <v>Αίθουσα Διεθνούς δικαίου και Εμπορικού δικαίου</v>
      </c>
    </row>
    <row r="14" spans="1:6" ht="38.25" customHeight="1" x14ac:dyDescent="0.3">
      <c r="A14" s="25" t="str">
        <f ca="1">IFERROR(__xludf.DUMMYFUNCTION("""COMPUTED_VALUE"""),"Civil liability for marine oil pollution damage : A comparative and economic study of the international, US and the Chinese compensation regime / Wang Hui.")</f>
        <v>Civil liability for marine oil pollution damage : A comparative and economic study of the international, US and the Chinese compensation regime / Wang Hui.</v>
      </c>
      <c r="B14" s="26" t="str">
        <f ca="1">IFERROR(__xludf.DUMMYFUNCTION("""COMPUTED_VALUE"""),"Hui, Wang.")</f>
        <v>Hui, Wang.</v>
      </c>
      <c r="C14" s="26" t="str">
        <f ca="1">IFERROR(__xludf.DUMMYFUNCTION("""COMPUTED_VALUE"""),"")</f>
        <v/>
      </c>
      <c r="D14" s="27" t="str">
        <f ca="1">IFERROR(__xludf.DUMMYFUNCTION("""COMPUTED_VALUE"""),"Alphen aan den Rijn : Kluwer Law International,  2011.")</f>
        <v>Alphen aan den Rijn : Kluwer Law International,  2011.</v>
      </c>
      <c r="E14" s="26" t="str">
        <f ca="1">IFERROR(__xludf.DUMMYFUNCTION("""COMPUTED_VALUE"""),"347.799.2 HuiW c 2011")</f>
        <v>347.799.2 HuiW c 2011</v>
      </c>
      <c r="F14" s="28" t="str">
        <f ca="1">IFERROR(__xludf.DUMMYFUNCTION("""COMPUTED_VALUE"""),"Αίθουσα Διεθνούς δικαίου και Εμπορικού δικαίου")</f>
        <v>Αίθουσα Διεθνούς δικαίου και Εμπορικού δικαίου</v>
      </c>
    </row>
    <row r="15" spans="1:6" ht="38.25" customHeight="1" x14ac:dyDescent="0.3">
      <c r="A15" s="25" t="str">
        <f ca="1">IFERROR(__xludf.DUMMYFUNCTION("""COMPUTED_VALUE"""),"Coherence in EU Competition law / Wolf Sauter.")</f>
        <v>Coherence in EU Competition law / Wolf Sauter.</v>
      </c>
      <c r="B15" s="26" t="str">
        <f ca="1">IFERROR(__xludf.DUMMYFUNCTION("""COMPUTED_VALUE"""),"Sauter, Wolf.")</f>
        <v>Sauter, Wolf.</v>
      </c>
      <c r="C15" s="26" t="str">
        <f ca="1">IFERROR(__xludf.DUMMYFUNCTION("""COMPUTED_VALUE"""),"")</f>
        <v/>
      </c>
      <c r="D15" s="27" t="str">
        <f ca="1">IFERROR(__xludf.DUMMYFUNCTION("""COMPUTED_VALUE"""),"Oxford : Oxford University Press, 2016.")</f>
        <v>Oxford : Oxford University Press, 2016.</v>
      </c>
      <c r="E15" s="26" t="str">
        <f ca="1">IFERROR(__xludf.DUMMYFUNCTION("""COMPUTED_VALUE"""),"347.776 (4-672EU) SauW c 2016")</f>
        <v>347.776 (4-672EU) SauW c 2016</v>
      </c>
      <c r="F15" s="28" t="str">
        <f ca="1">IFERROR(__xludf.DUMMYFUNCTION("""COMPUTED_VALUE"""),"Αίθουσα Διεθνούς δικαίου και Εμπορικού δικαίου")</f>
        <v>Αίθουσα Διεθνούς δικαίου και Εμπορικού δικαίου</v>
      </c>
    </row>
    <row r="16" spans="1:6" ht="38.25" customHeight="1" x14ac:dyDescent="0.3">
      <c r="A16" s="25" t="str">
        <f ca="1">IFERROR(__xludf.DUMMYFUNCTION("""COMPUTED_VALUE"""),"Comparative constitutional design / [edited by] Tom Ginsburg.")</f>
        <v>Comparative constitutional design / [edited by] Tom Ginsburg.</v>
      </c>
      <c r="B16" s="26" t="str">
        <f ca="1">IFERROR(__xludf.DUMMYFUNCTION("""COMPUTED_VALUE"""),"")</f>
        <v/>
      </c>
      <c r="C16" s="26" t="str">
        <f ca="1">IFERROR(__xludf.DUMMYFUNCTION("""COMPUTED_VALUE"""),"")</f>
        <v/>
      </c>
      <c r="D16" s="27" t="str">
        <f ca="1">IFERROR(__xludf.DUMMYFUNCTION("""COMPUTED_VALUE"""),"New York : Cambridge University Press, 2012.")</f>
        <v>New York : Cambridge University Press, 2012.</v>
      </c>
      <c r="E16" s="26" t="str">
        <f ca="1">IFERROR(__xludf.DUMMYFUNCTION("""COMPUTED_VALUE"""),"342 GinT c 2012")</f>
        <v>342 GinT c 2012</v>
      </c>
      <c r="F16" s="28" t="str">
        <f ca="1">IFERROR(__xludf.DUMMYFUNCTION("""COMPUTED_VALUE"""),"Αίθουσα Δημοσίου Δικαίου")</f>
        <v>Αίθουσα Δημοσίου Δικαίου</v>
      </c>
    </row>
    <row r="17" spans="1:6" ht="38.25" customHeight="1" x14ac:dyDescent="0.3">
      <c r="A17" s="25" t="str">
        <f ca="1">IFERROR(__xludf.DUMMYFUNCTION("""COMPUTED_VALUE"""),"Constitutional argument and institutional structure in the United States / Nicholas Papaspyrou.")</f>
        <v>Constitutional argument and institutional structure in the United States / Nicholas Papaspyrou.</v>
      </c>
      <c r="B17" s="26" t="str">
        <f ca="1">IFERROR(__xludf.DUMMYFUNCTION("""COMPUTED_VALUE"""),"Παπασπύρου, Νικόλαος.")</f>
        <v>Παπασπύρου, Νικόλαος.</v>
      </c>
      <c r="C17" s="26" t="str">
        <f ca="1">IFERROR(__xludf.DUMMYFUNCTION("""COMPUTED_VALUE"""),"")</f>
        <v/>
      </c>
      <c r="D17" s="27" t="str">
        <f ca="1">IFERROR(__xludf.DUMMYFUNCTION("""COMPUTED_VALUE"""),"Oxford   New York : Hart, 2018.")</f>
        <v>Oxford   New York : Hart, 2018.</v>
      </c>
      <c r="E17" s="26" t="str">
        <f ca="1">IFERROR(__xludf.DUMMYFUNCTION("""COMPUTED_VALUE"""),"342.4(73) ΠαπΝ c 2018")</f>
        <v>342.4(73) ΠαπΝ c 2018</v>
      </c>
      <c r="F17" s="28" t="str">
        <f ca="1">IFERROR(__xludf.DUMMYFUNCTION("""COMPUTED_VALUE"""),"Αίθουσα Δημοσίου Δικαίου")</f>
        <v>Αίθουσα Δημοσίου Δικαίου</v>
      </c>
    </row>
    <row r="18" spans="1:6" ht="38.25" customHeight="1" x14ac:dyDescent="0.3">
      <c r="A18" s="25" t="str">
        <f ca="1">IFERROR(__xludf.DUMMYFUNCTION("""COMPUTED_VALUE"""),"Constitutional law, administrative law, and human rights : a critical introduction / Ian Loveland.")</f>
        <v>Constitutional law, administrative law, and human rights : a critical introduction / Ian Loveland.</v>
      </c>
      <c r="B18" s="26" t="str">
        <f ca="1">IFERROR(__xludf.DUMMYFUNCTION("""COMPUTED_VALUE"""),"Loveland, Ian.")</f>
        <v>Loveland, Ian.</v>
      </c>
      <c r="C18" s="26" t="str">
        <f ca="1">IFERROR(__xludf.DUMMYFUNCTION("""COMPUTED_VALUE"""),"8th ed.")</f>
        <v>8th ed.</v>
      </c>
      <c r="D18" s="27" t="str">
        <f ca="1">IFERROR(__xludf.DUMMYFUNCTION("""COMPUTED_VALUE"""),"Oxford, United Kingdom : Oxford University Press, 2015.")</f>
        <v>Oxford, United Kingdom : Oxford University Press, 2015.</v>
      </c>
      <c r="E18" s="26" t="str">
        <f ca="1">IFERROR(__xludf.DUMMYFUNCTION("""COMPUTED_VALUE"""),"342(410) LovI c 2015")</f>
        <v>342(410) LovI c 2015</v>
      </c>
      <c r="F18" s="28" t="str">
        <f ca="1">IFERROR(__xludf.DUMMYFUNCTION("""COMPUTED_VALUE"""),"Αίθουσα Δημοσίου Δικαίου")</f>
        <v>Αίθουσα Δημοσίου Δικαίου</v>
      </c>
    </row>
    <row r="19" spans="1:6" ht="108.75" customHeight="1" x14ac:dyDescent="0.3">
      <c r="A19" s="25" t="s">
        <v>2612</v>
      </c>
      <c r="B19" s="26" t="str">
        <f ca="1">IFERROR(__xludf.DUMMYFUNCTION("""COMPUTED_VALUE"""),"")</f>
        <v/>
      </c>
      <c r="C19" s="26" t="str">
        <f ca="1">IFERROR(__xludf.DUMMYFUNCTION("""COMPUTED_VALUE"""),"")</f>
        <v/>
      </c>
      <c r="D19" s="27" t="str">
        <f ca="1">IFERROR(__xludf.DUMMYFUNCTION("""COMPUTED_VALUE"""),"Paris : Pedone, 2017.")</f>
        <v>Paris : Pedone, 2017.</v>
      </c>
      <c r="E19" s="26" t="s">
        <v>2613</v>
      </c>
      <c r="F19" s="28" t="str">
        <f ca="1">IFERROR(__xludf.DUMMYFUNCTION("""COMPUTED_VALUE"""),"Αίθουσα Αστικού και Αστικού ΔΙκονομικού Δικαίου")</f>
        <v>Αίθουσα Αστικού και Αστικού ΔΙκονομικού Δικαίου</v>
      </c>
    </row>
    <row r="20" spans="1:6" ht="38.25" customHeight="1" x14ac:dyDescent="0.3">
      <c r="A20" s="25" t="str">
        <f ca="1">IFERROR(__xludf.DUMMYFUNCTION("""COMPUTED_VALUE"""),"Democratic dialogue and the constitution / Alison L. Young.")</f>
        <v>Democratic dialogue and the constitution / Alison L. Young.</v>
      </c>
      <c r="B20" s="26" t="str">
        <f ca="1">IFERROR(__xludf.DUMMYFUNCTION("""COMPUTED_VALUE"""),"Young, Alison L.")</f>
        <v>Young, Alison L.</v>
      </c>
      <c r="C20" s="26" t="str">
        <f ca="1">IFERROR(__xludf.DUMMYFUNCTION("""COMPUTED_VALUE"""),"")</f>
        <v/>
      </c>
      <c r="D20" s="27" t="str">
        <f ca="1">IFERROR(__xludf.DUMMYFUNCTION("""COMPUTED_VALUE"""),"New York, NY : Oxford University Press, 2017.")</f>
        <v>New York, NY : Oxford University Press, 2017.</v>
      </c>
      <c r="E20" s="26" t="str">
        <f ca="1">IFERROR(__xludf.DUMMYFUNCTION("""COMPUTED_VALUE"""),"342(410) YouA d 2017")</f>
        <v>342(410) YouA d 2017</v>
      </c>
      <c r="F20" s="28" t="str">
        <f ca="1">IFERROR(__xludf.DUMMYFUNCTION("""COMPUTED_VALUE"""),"Αίθουσα Δημοσίου Δικαίου")</f>
        <v>Αίθουσα Δημοσίου Δικαίου</v>
      </c>
    </row>
    <row r="21" spans="1:6" ht="38.25" customHeight="1" x14ac:dyDescent="0.3">
      <c r="A21" s="25" t="str">
        <f ca="1">IFERROR(__xludf.DUMMYFUNCTION("""COMPUTED_VALUE"""),"Demokratia et aristokratia : a propos de Caius Gracchus : mots grecs et réalités romaines / Claude Nicolet.")</f>
        <v>Demokratia et aristokratia : a propos de Caius Gracchus : mots grecs et réalités romaines / Claude Nicolet.</v>
      </c>
      <c r="B21" s="26" t="str">
        <f ca="1">IFERROR(__xludf.DUMMYFUNCTION("""COMPUTED_VALUE"""),"Nicolet, Claude, 1930-")</f>
        <v>Nicolet, Claude, 1930-</v>
      </c>
      <c r="C21" s="26" t="str">
        <f ca="1">IFERROR(__xludf.DUMMYFUNCTION("""COMPUTED_VALUE"""),"")</f>
        <v/>
      </c>
      <c r="D21" s="27" t="str">
        <f ca="1">IFERROR(__xludf.DUMMYFUNCTION("""COMPUTED_VALUE"""),"Paris : Universite de Paris I, 1983.")</f>
        <v>Paris : Universite de Paris I, 1983.</v>
      </c>
      <c r="E21" s="26" t="str">
        <f ca="1">IFERROR(__xludf.DUMMYFUNCTION("""COMPUTED_VALUE"""),"32(37)«-0265/-0030» NicC d 1983")</f>
        <v>32(37)«-0265/-0030» NicC d 1983</v>
      </c>
      <c r="F21" s="28" t="str">
        <f ca="1">IFERROR(__xludf.DUMMYFUNCTION("""COMPUTED_VALUE"""),"Αίθουσα ιστορίας, Θεωρίας και Φιλοσοφίας του Δικαίου")</f>
        <v>Αίθουσα ιστορίας, Θεωρίας και Φιλοσοφίας του Δικαίου</v>
      </c>
    </row>
    <row r="22" spans="1:6" ht="38.25" customHeight="1" x14ac:dyDescent="0.3">
      <c r="A22" s="25" t="str">
        <f ca="1">IFERROR(__xludf.DUMMYFUNCTION("""COMPUTED_VALUE"""),"Droit international / Dominique Carreau, Fabrizio Marrella.")</f>
        <v>Droit international / Dominique Carreau, Fabrizio Marrella.</v>
      </c>
      <c r="B22" s="26" t="str">
        <f ca="1">IFERROR(__xludf.DUMMYFUNCTION("""COMPUTED_VALUE"""),"Carreau, Dominique.")</f>
        <v>Carreau, Dominique.</v>
      </c>
      <c r="C22" s="26" t="str">
        <f ca="1">IFERROR(__xludf.DUMMYFUNCTION("""COMPUTED_VALUE"""),"12ème éd.")</f>
        <v>12ème éd.</v>
      </c>
      <c r="D22" s="27" t="str">
        <f ca="1">IFERROR(__xludf.DUMMYFUNCTION("""COMPUTED_VALUE"""),"Paris : Éditions Pedone,  2018.")</f>
        <v>Paris : Éditions Pedone,  2018.</v>
      </c>
      <c r="E22" s="26" t="str">
        <f ca="1">IFERROR(__xludf.DUMMYFUNCTION("""COMPUTED_VALUE"""),"341 DomC d 2018")</f>
        <v>341 DomC d 2018</v>
      </c>
      <c r="F22" s="28" t="str">
        <f ca="1">IFERROR(__xludf.DUMMYFUNCTION("""COMPUTED_VALUE"""),"Αίθουσα Διεθνούς Δικαίου και Εμπορικού Δικαίου")</f>
        <v>Αίθουσα Διεθνούς Δικαίου και Εμπορικού Δικαίου</v>
      </c>
    </row>
    <row r="23" spans="1:6" ht="38.25" customHeight="1" x14ac:dyDescent="0.3">
      <c r="A23" s="25" t="str">
        <f ca="1">IFERROR(__xludf.DUMMYFUNCTION("""COMPUTED_VALUE"""),"Droit international de l'investissement / Arnaud de Nanteuil.")</f>
        <v>Droit international de l'investissement / Arnaud de Nanteuil.</v>
      </c>
      <c r="B23" s="26" t="str">
        <f ca="1">IFERROR(__xludf.DUMMYFUNCTION("""COMPUTED_VALUE"""),"Nanteuil, Arnaud de.")</f>
        <v>Nanteuil, Arnaud de.</v>
      </c>
      <c r="C23" s="26" t="str">
        <f ca="1">IFERROR(__xludf.DUMMYFUNCTION("""COMPUTED_VALUE"""),"2e éd.")</f>
        <v>2e éd.</v>
      </c>
      <c r="D23" s="27" t="str">
        <f ca="1">IFERROR(__xludf.DUMMYFUNCTION("""COMPUTED_VALUE"""),"Paris : Pédone, 2017.")</f>
        <v>Paris : Pédone, 2017.</v>
      </c>
      <c r="E23" s="26" t="str">
        <f ca="1">IFERROR(__xludf.DUMMYFUNCTION("""COMPUTED_VALUE"""),"346 NanA d 2017")</f>
        <v>346 NanA d 2017</v>
      </c>
      <c r="F23" s="28" t="str">
        <f ca="1">IFERROR(__xludf.DUMMYFUNCTION("""COMPUTED_VALUE"""),"Αίθουσα Διεθνούς Δικαίου και Εμπορικού Δικαίου")</f>
        <v>Αίθουσα Διεθνούς Δικαίου και Εμπορικού Δικαίου</v>
      </c>
    </row>
    <row r="24" spans="1:6" ht="38.25" customHeight="1" x14ac:dyDescent="0.3">
      <c r="A24" s="25" t="str">
        <f ca="1">IFERROR(__xludf.DUMMYFUNCTION("""COMPUTED_VALUE"""),"Droit international des espaces : morceaux choisis / Giovanni Distefano.")</f>
        <v>Droit international des espaces : morceaux choisis / Giovanni Distefano.</v>
      </c>
      <c r="B24" s="26" t="str">
        <f ca="1">IFERROR(__xludf.DUMMYFUNCTION("""COMPUTED_VALUE"""),"Distefano, Giovanni.")</f>
        <v>Distefano, Giovanni.</v>
      </c>
      <c r="C24" s="26" t="str">
        <f ca="1">IFERROR(__xludf.DUMMYFUNCTION("""COMPUTED_VALUE"""),"")</f>
        <v/>
      </c>
      <c r="D24" s="27" t="str">
        <f ca="1">IFERROR(__xludf.DUMMYFUNCTION("""COMPUTED_VALUE"""),"Paris : A. Pedone, 2017")</f>
        <v>Paris : A. Pedone, 2017</v>
      </c>
      <c r="E24" s="26" t="str">
        <f ca="1">IFERROR(__xludf.DUMMYFUNCTION("""COMPUTED_VALUE"""),"341.22 DisG d 2017")</f>
        <v>341.22 DisG d 2017</v>
      </c>
      <c r="F24" s="28" t="str">
        <f ca="1">IFERROR(__xludf.DUMMYFUNCTION("""COMPUTED_VALUE"""),"Αίθουσα Διεθνούς Δικαίου και Εμπορικού Δικαίου")</f>
        <v>Αίθουσα Διεθνούς Δικαίου και Εμπορικού Δικαίου</v>
      </c>
    </row>
    <row r="25" spans="1:6" ht="38.25" customHeight="1" x14ac:dyDescent="0.3">
      <c r="A25" s="25" t="str">
        <f ca="1">IFERROR(__xludf.DUMMYFUNCTION("""COMPUTED_VALUE"""),"Droit international économique / Hervé Ascensio.")</f>
        <v>Droit international économique / Hervé Ascensio.</v>
      </c>
      <c r="B25" s="26" t="str">
        <f ca="1">IFERROR(__xludf.DUMMYFUNCTION("""COMPUTED_VALUE"""),"Ascensio, Hervé.")</f>
        <v>Ascensio, Hervé.</v>
      </c>
      <c r="C25" s="26" t="str">
        <f ca="1">IFERROR(__xludf.DUMMYFUNCTION("""COMPUTED_VALUE"""),"1e éd.")</f>
        <v>1e éd.</v>
      </c>
      <c r="D25" s="27" t="str">
        <f ca="1">IFERROR(__xludf.DUMMYFUNCTION("""COMPUTED_VALUE"""),"Paris : Presses universitaires de France, 2018.")</f>
        <v>Paris : Presses universitaires de France, 2018.</v>
      </c>
      <c r="E25" s="26" t="str">
        <f ca="1">IFERROR(__xludf.DUMMYFUNCTION("""COMPUTED_VALUE"""),"346 HerA d 2018")</f>
        <v>346 HerA d 2018</v>
      </c>
      <c r="F25" s="28" t="str">
        <f ca="1">IFERROR(__xludf.DUMMYFUNCTION("""COMPUTED_VALUE"""),"Αίθουσα Διεθνούς Δικαίου και Εμπορικού Δικαίου")</f>
        <v>Αίθουσα Διεθνούς Δικαίου και Εμπορικού Δικαίου</v>
      </c>
    </row>
    <row r="26" spans="1:6" ht="38.25" customHeight="1" x14ac:dyDescent="0.3">
      <c r="A26" s="25" t="str">
        <f ca="1">IFERROR(__xludf.DUMMYFUNCTION("""COMPUTED_VALUE"""),"Droit processuel : droits fondamentaux du procés / Serge Guinchard ... [et al.].")</f>
        <v>Droit processuel : droits fondamentaux du procés / Serge Guinchard ... [et al.].</v>
      </c>
      <c r="B26" s="26" t="str">
        <f ca="1">IFERROR(__xludf.DUMMYFUNCTION("""COMPUTED_VALUE"""),"Guinchard, Serge.")</f>
        <v>Guinchard, Serge.</v>
      </c>
      <c r="C26" s="26" t="str">
        <f ca="1">IFERROR(__xludf.DUMMYFUNCTION("""COMPUTED_VALUE"""),"10e ed.")</f>
        <v>10e ed.</v>
      </c>
      <c r="D26" s="27" t="str">
        <f ca="1">IFERROR(__xludf.DUMMYFUNCTION("""COMPUTED_VALUE"""),"Paris : Dalloz, 2019.")</f>
        <v>Paris : Dalloz, 2019.</v>
      </c>
      <c r="E26" s="26" t="str">
        <f ca="1">IFERROR(__xludf.DUMMYFUNCTION("""COMPUTED_VALUE"""),"347.9.05 GuiS d 2019")</f>
        <v>347.9.05 GuiS d 2019</v>
      </c>
      <c r="F26" s="28" t="str">
        <f ca="1">IFERROR(__xludf.DUMMYFUNCTION("""COMPUTED_VALUE"""),"Αίθουσα Αστικού Δικαίου και Αστικού Δικονομικού Δικαίου")</f>
        <v>Αίθουσα Αστικού Δικαίου και Αστικού Δικονομικού Δικαίου</v>
      </c>
    </row>
    <row r="27" spans="1:6" ht="38.25" customHeight="1" x14ac:dyDescent="0.3">
      <c r="A27" s="25" t="str">
        <f ca="1">IFERROR(__xludf.DUMMYFUNCTION("""COMPUTED_VALUE"""),"Dtv-Lexicon der Antike : Philosophie, Literatur, Wissenschaft.")</f>
        <v>Dtv-Lexicon der Antike : Philosophie, Literatur, Wissenschaft.</v>
      </c>
      <c r="B27" s="26" t="str">
        <f ca="1">IFERROR(__xludf.DUMMYFUNCTION("""COMPUTED_VALUE"""),"")</f>
        <v/>
      </c>
      <c r="C27" s="26" t="str">
        <f ca="1">IFERROR(__xludf.DUMMYFUNCTION("""COMPUTED_VALUE"""),"")</f>
        <v/>
      </c>
      <c r="D27" s="27" t="str">
        <f ca="1">IFERROR(__xludf.DUMMYFUNCTION("""COMPUTED_VALUE"""),"Stuttgart :  Artemis Verlags,  c1965-")</f>
        <v>Stuttgart :  Artemis Verlags,  c1965-</v>
      </c>
      <c r="E27" s="26" t="str">
        <f ca="1">IFERROR(__xludf.DUMMYFUNCTION("""COMPUTED_VALUE"""),"930.85(038) DLA 1965 4")</f>
        <v>930.85(038) DLA 1965 4</v>
      </c>
      <c r="F27" s="28" t="str">
        <f ca="1">IFERROR(__xludf.DUMMYFUNCTION("""COMPUTED_VALUE"""),"Αίθουσα Ιστορίας, Θεωρίας και Φιλοσοφίας του Δικαίου")</f>
        <v>Αίθουσα Ιστορίας, Θεωρίας και Φιλοσοφίας του Δικαίου</v>
      </c>
    </row>
    <row r="28" spans="1:6" ht="38.25" customHeight="1" x14ac:dyDescent="0.3">
      <c r="A28" s="25" t="str">
        <f ca="1">IFERROR(__xludf.DUMMYFUNCTION("""COMPUTED_VALUE"""),"Egypte pharaonique : pouvoir, société / edité par Bernadette Menu.")</f>
        <v>Egypte pharaonique : pouvoir, société / edité par Bernadette Menu.</v>
      </c>
      <c r="B28" s="26" t="str">
        <f ca="1">IFERROR(__xludf.DUMMYFUNCTION("""COMPUTED_VALUE"""),"")</f>
        <v/>
      </c>
      <c r="C28" s="26" t="str">
        <f ca="1">IFERROR(__xludf.DUMMYFUNCTION("""COMPUTED_VALUE"""),"")</f>
        <v/>
      </c>
      <c r="D28" s="27" t="str">
        <f ca="1">IFERROR(__xludf.DUMMYFUNCTION("""COMPUTED_VALUE"""),"Paris : L'Harmattan, 1996.")</f>
        <v>Paris : L'Harmattan, 1996.</v>
      </c>
      <c r="E28" s="26" t="str">
        <f ca="1">IFERROR(__xludf.DUMMYFUNCTION("""COMPUTED_VALUE"""),"304.3(37) MenB e 1996")</f>
        <v>304.3(37) MenB e 1996</v>
      </c>
      <c r="F28" s="28" t="str">
        <f ca="1">IFERROR(__xludf.DUMMYFUNCTION("""COMPUTED_VALUE"""),"Αίθουσα ιστορίας, Θεωρίας και Φιλοσοφίας του Δικαίου")</f>
        <v>Αίθουσα ιστορίας, Θεωρίας και Φιλοσοφίας του Δικαίου</v>
      </c>
    </row>
    <row r="29" spans="1:6" ht="38.25" customHeight="1" x14ac:dyDescent="0.3">
      <c r="A29" s="25" t="str">
        <f ca="1">IFERROR(__xludf.DUMMYFUNCTION("""COMPUTED_VALUE"""),"Energy security, trade and the EU : regional and international perspectives / Rafael Leal-Arcas, Costantino Grasso, Juan Alemany Rios.")</f>
        <v>Energy security, trade and the EU : regional and international perspectives / Rafael Leal-Arcas, Costantino Grasso, Juan Alemany Rios.</v>
      </c>
      <c r="B29" s="26" t="str">
        <f ca="1">IFERROR(__xludf.DUMMYFUNCTION("""COMPUTED_VALUE"""),"Leal-Arcas, Rafael.")</f>
        <v>Leal-Arcas, Rafael.</v>
      </c>
      <c r="C29" s="26" t="str">
        <f ca="1">IFERROR(__xludf.DUMMYFUNCTION("""COMPUTED_VALUE"""),"")</f>
        <v/>
      </c>
      <c r="D29" s="27" t="str">
        <f ca="1">IFERROR(__xludf.DUMMYFUNCTION("""COMPUTED_VALUE"""),"Cheltenham, UK : Edward Elgar Publishing, 2016.")</f>
        <v>Cheltenham, UK : Edward Elgar Publishing, 2016.</v>
      </c>
      <c r="E29" s="26" t="str">
        <f ca="1">IFERROR(__xludf.DUMMYFUNCTION("""COMPUTED_VALUE"""),"351.824.11 LeaR e 2016")</f>
        <v>351.824.11 LeaR e 2016</v>
      </c>
      <c r="F29" s="28" t="str">
        <f ca="1">IFERROR(__xludf.DUMMYFUNCTION("""COMPUTED_VALUE"""),"Αίθουσα Δημοσίου Δικαίου")</f>
        <v>Αίθουσα Δημοσίου Δικαίου</v>
      </c>
    </row>
    <row r="30" spans="1:6" ht="38.25" customHeight="1" x14ac:dyDescent="0.3">
      <c r="A30" s="25" t="str">
        <f ca="1">IFERROR(__xludf.DUMMYFUNCTION("""COMPUTED_VALUE"""),"Enforcement of investment treaty arbitration awards : a global guide / consulting editor, Julien Fouret.")</f>
        <v>Enforcement of investment treaty arbitration awards : a global guide / consulting editor, Julien Fouret.</v>
      </c>
      <c r="B30" s="26" t="str">
        <f ca="1">IFERROR(__xludf.DUMMYFUNCTION("""COMPUTED_VALUE"""),"")</f>
        <v/>
      </c>
      <c r="C30" s="26" t="str">
        <f ca="1">IFERROR(__xludf.DUMMYFUNCTION("""COMPUTED_VALUE"""),"")</f>
        <v/>
      </c>
      <c r="D30" s="27" t="str">
        <f ca="1">IFERROR(__xludf.DUMMYFUNCTION("""COMPUTED_VALUE"""),"London : Globe Law &amp; Business, Globe Business Publishing Ltd., 2015.")</f>
        <v>London : Globe Law &amp; Business, Globe Business Publishing Ltd., 2015.</v>
      </c>
      <c r="E30" s="26" t="str">
        <f ca="1">IFERROR(__xludf.DUMMYFUNCTION("""COMPUTED_VALUE"""),"341.63:347.7 FouJ e 2015")</f>
        <v>341.63:347.7 FouJ e 2015</v>
      </c>
      <c r="F30" s="28" t="str">
        <f ca="1">IFERROR(__xludf.DUMMYFUNCTION("""COMPUTED_VALUE"""),"Αίθουσα Διεθνούς Δικαίου και Εμπορικού Δικαίου")</f>
        <v>Αίθουσα Διεθνούς Δικαίου και Εμπορικού Δικαίου</v>
      </c>
    </row>
    <row r="31" spans="1:6" ht="38.25" customHeight="1" x14ac:dyDescent="0.3">
      <c r="A31" s="25" t="str">
        <f ca="1">IFERROR(__xludf.DUMMYFUNCTION("""COMPUTED_VALUE"""),"EU anti-discrimination law / Evelyn Ellis and Philippa Watson.")</f>
        <v>EU anti-discrimination law / Evelyn Ellis and Philippa Watson.</v>
      </c>
      <c r="B31" s="26" t="str">
        <f ca="1">IFERROR(__xludf.DUMMYFUNCTION("""COMPUTED_VALUE"""),"Ellis, Evelyn, 1948-")</f>
        <v>Ellis, Evelyn, 1948-</v>
      </c>
      <c r="C31" s="26" t="str">
        <f ca="1">IFERROR(__xludf.DUMMYFUNCTION("""COMPUTED_VALUE"""),"2nd ed.")</f>
        <v>2nd ed.</v>
      </c>
      <c r="D31" s="27" t="str">
        <f ca="1">IFERROR(__xludf.DUMMYFUNCTION("""COMPUTED_VALUE"""),"Oxford, United Kingdom : Oxford University Press, [2012].")</f>
        <v>Oxford, United Kingdom : Oxford University Press, [2012].</v>
      </c>
      <c r="E31" s="26" t="str">
        <f ca="1">IFERROR(__xludf.DUMMYFUNCTION("""COMPUTED_VALUE"""),"341.231.14(4-672EU) EllE e 2012")</f>
        <v>341.231.14(4-672EU) EllE e 2012</v>
      </c>
      <c r="F31" s="28" t="str">
        <f ca="1">IFERROR(__xludf.DUMMYFUNCTION("""COMPUTED_VALUE"""),"Αίθουσα Διεθνούς Δικαίου και Εμπορικού Δικαίου")</f>
        <v>Αίθουσα Διεθνούς Δικαίου και Εμπορικού Δικαίου</v>
      </c>
    </row>
    <row r="32" spans="1:6" ht="38.25" customHeight="1" x14ac:dyDescent="0.3">
      <c r="A32" s="25" t="str">
        <f ca="1">IFERROR(__xludf.DUMMYFUNCTION("""COMPUTED_VALUE"""),"EU competition law : text, cases, and materials / Prof Alison Jones, Prof Brenda Sufrin.")</f>
        <v>EU competition law : text, cases, and materials / Prof Alison Jones, Prof Brenda Sufrin.</v>
      </c>
      <c r="B32" s="26" t="str">
        <f ca="1">IFERROR(__xludf.DUMMYFUNCTION("""COMPUTED_VALUE"""),"Jones, Alison.")</f>
        <v>Jones, Alison.</v>
      </c>
      <c r="C32" s="26" t="str">
        <f ca="1">IFERROR(__xludf.DUMMYFUNCTION("""COMPUTED_VALUE"""),"6th ed.")</f>
        <v>6th ed.</v>
      </c>
      <c r="D32" s="27" t="str">
        <f ca="1">IFERROR(__xludf.DUMMYFUNCTION("""COMPUTED_VALUE"""),"Oxford, UK   New York, NY : Oxford University Press, 2016.")</f>
        <v>Oxford, UK   New York, NY : Oxford University Press, 2016.</v>
      </c>
      <c r="E32" s="26" t="str">
        <f ca="1">IFERROR(__xludf.DUMMYFUNCTION("""COMPUTED_VALUE"""),"347.776(4-672EU) JonA e 2016")</f>
        <v>347.776(4-672EU) JonA e 2016</v>
      </c>
      <c r="F32" s="28" t="str">
        <f ca="1">IFERROR(__xludf.DUMMYFUNCTION("""COMPUTED_VALUE"""),"Αίθουσα Διεθνούς Δικαίου και Εμπορικού Δικαίου")</f>
        <v>Αίθουσα Διεθνούς Δικαίου και Εμπορικού Δικαίου</v>
      </c>
    </row>
    <row r="33" spans="1:6" ht="38.25" customHeight="1" x14ac:dyDescent="0.3">
      <c r="A33" s="25" t="str">
        <f ca="1">IFERROR(__xludf.DUMMYFUNCTION("""COMPUTED_VALUE"""),"EU customs law / Tymothy Lyons.")</f>
        <v>EU customs law / Tymothy Lyons.</v>
      </c>
      <c r="B33" s="26" t="str">
        <f ca="1">IFERROR(__xludf.DUMMYFUNCTION("""COMPUTED_VALUE"""),"Lyons, Timothy.")</f>
        <v>Lyons, Timothy.</v>
      </c>
      <c r="C33" s="26" t="str">
        <f ca="1">IFERROR(__xludf.DUMMYFUNCTION("""COMPUTED_VALUE"""),"3rd ed.")</f>
        <v>3rd ed.</v>
      </c>
      <c r="D33" s="27" t="str">
        <f ca="1">IFERROR(__xludf.DUMMYFUNCTION("""COMPUTED_VALUE"""),"Oxford, UK : Oxford University Press, 2018.")</f>
        <v>Oxford, UK : Oxford University Press, 2018.</v>
      </c>
      <c r="E33" s="26" t="str">
        <f ca="1">IFERROR(__xludf.DUMMYFUNCTION("""COMPUTED_VALUE"""),"346.61(4-672EU) LyoT e 2018")</f>
        <v>346.61(4-672EU) LyoT e 2018</v>
      </c>
      <c r="F33" s="28" t="str">
        <f ca="1">IFERROR(__xludf.DUMMYFUNCTION("""COMPUTED_VALUE"""),"Αίθουσα Διεθνούς Δικαίου και Εμπορικού Δικαίου")</f>
        <v>Αίθουσα Διεθνούς Δικαίου και Εμπορικού Δικαίου</v>
      </c>
    </row>
    <row r="34" spans="1:6" ht="77.25" customHeight="1" x14ac:dyDescent="0.3">
      <c r="A34" s="25" t="str">
        <f ca="1">IFERROR(__xludf.DUMMYFUNCTION("""COMPUTED_VALUE"""),"EU electronic communications law : competition and regulation in the European telecommunications market / Paul Nihoul, Peter Rodford.;""Competition and regulation in the European telecommunications market""")</f>
        <v>EU electronic communications law : competition and regulation in the European telecommunications market / Paul Nihoul, Peter Rodford.;"Competition and regulation in the European telecommunications market"</v>
      </c>
      <c r="B34" s="26" t="str">
        <f ca="1">IFERROR(__xludf.DUMMYFUNCTION("""COMPUTED_VALUE"""),"Nihoul, Paul.")</f>
        <v>Nihoul, Paul.</v>
      </c>
      <c r="C34" s="26" t="str">
        <f ca="1">IFERROR(__xludf.DUMMYFUNCTION("""COMPUTED_VALUE"""),"2nd ed.")</f>
        <v>2nd ed.</v>
      </c>
      <c r="D34" s="27" t="str">
        <f ca="1">IFERROR(__xludf.DUMMYFUNCTION("""COMPUTED_VALUE"""),"Oxford   New York : Oxford University Press, 2011.")</f>
        <v>Oxford   New York : Oxford University Press, 2011.</v>
      </c>
      <c r="E34" s="26" t="str">
        <f ca="1">IFERROR(__xludf.DUMMYFUNCTION("""COMPUTED_VALUE"""),"351.817(4-672EU) NihP e 2011")</f>
        <v>351.817(4-672EU) NihP e 2011</v>
      </c>
      <c r="F34" s="28" t="str">
        <f ca="1">IFERROR(__xludf.DUMMYFUNCTION("""COMPUTED_VALUE"""),"Αϊθουσα Δημοσίου Δικαίου")</f>
        <v>Αϊθουσα Δημοσίου Δικαίου</v>
      </c>
    </row>
    <row r="35" spans="1:6" ht="38.25" customHeight="1" x14ac:dyDescent="0.3">
      <c r="A35" s="25" t="str">
        <f ca="1">IFERROR(__xludf.DUMMYFUNCTION("""COMPUTED_VALUE"""),"EU employment law / Catherine Barnard.")</f>
        <v>EU employment law / Catherine Barnard.</v>
      </c>
      <c r="B35" s="26" t="str">
        <f ca="1">IFERROR(__xludf.DUMMYFUNCTION("""COMPUTED_VALUE"""),"Barnard, Catherine.")</f>
        <v>Barnard, Catherine.</v>
      </c>
      <c r="C35" s="26" t="str">
        <f ca="1">IFERROR(__xludf.DUMMYFUNCTION("""COMPUTED_VALUE"""),"4th ed.")</f>
        <v>4th ed.</v>
      </c>
      <c r="D35" s="27" t="str">
        <f ca="1">IFERROR(__xludf.DUMMYFUNCTION("""COMPUTED_VALUE"""),"Oxford : Oxford University Press, 2012, (2013) print.")</f>
        <v>Oxford : Oxford University Press, 2012, (2013) print.</v>
      </c>
      <c r="E35" s="26" t="str">
        <f ca="1">IFERROR(__xludf.DUMMYFUNCTION("""COMPUTED_VALUE"""),"349.2(4-672EU) BarC e 2012")</f>
        <v>349.2(4-672EU) BarC e 2012</v>
      </c>
      <c r="F35" s="28" t="str">
        <f ca="1">IFERROR(__xludf.DUMMYFUNCTION("""COMPUTED_VALUE"""),"Αίθουσα Διεθνούς δικαίου και Εμπορικού δικαίου")</f>
        <v>Αίθουσα Διεθνούς δικαίου και Εμπορικού δικαίου</v>
      </c>
    </row>
    <row r="36" spans="1:6" ht="38.25" customHeight="1" x14ac:dyDescent="0.3">
      <c r="A36" s="25" t="str">
        <f ca="1">IFERROR(__xludf.DUMMYFUNCTION("""COMPUTED_VALUE"""),"EU environmental law / Geert Van Calster and Leonie Reins.;""European Union environmental law""")</f>
        <v>EU environmental law / Geert Van Calster and Leonie Reins.;"European Union environmental law"</v>
      </c>
      <c r="B36" s="26" t="str">
        <f ca="1">IFERROR(__xludf.DUMMYFUNCTION("""COMPUTED_VALUE"""),"Calster, Geert Van.")</f>
        <v>Calster, Geert Van.</v>
      </c>
      <c r="C36" s="26" t="str">
        <f ca="1">IFERROR(__xludf.DUMMYFUNCTION("""COMPUTED_VALUE"""),"")</f>
        <v/>
      </c>
      <c r="D36" s="27" t="str">
        <f ca="1">IFERROR(__xludf.DUMMYFUNCTION("""COMPUTED_VALUE"""),"Cheltenham :  Edward Elgar Publishing,  2018.")</f>
        <v>Cheltenham :  Edward Elgar Publishing,  2018.</v>
      </c>
      <c r="E36" s="26" t="str">
        <f ca="1">IFERROR(__xludf.DUMMYFUNCTION("""COMPUTED_VALUE"""),"349.6(4-672EU) CalG e 2018")</f>
        <v>349.6(4-672EU) CalG e 2018</v>
      </c>
      <c r="F36" s="28" t="s">
        <v>1777</v>
      </c>
    </row>
    <row r="37" spans="1:6" ht="38.25" customHeight="1" x14ac:dyDescent="0.3">
      <c r="A37" s="25" t="str">
        <f ca="1">IFERROR(__xludf.DUMMYFUNCTION("""COMPUTED_VALUE"""),"EU environmental law and policy / David Langlet and Said Mahmoudi.;""European Union environmental law and policy""")</f>
        <v>EU environmental law and policy / David Langlet and Said Mahmoudi.;"European Union environmental law and policy"</v>
      </c>
      <c r="B37" s="26" t="str">
        <f ca="1">IFERROR(__xludf.DUMMYFUNCTION("""COMPUTED_VALUE"""),"Langlet, David.")</f>
        <v>Langlet, David.</v>
      </c>
      <c r="C37" s="26" t="str">
        <f ca="1">IFERROR(__xludf.DUMMYFUNCTION("""COMPUTED_VALUE"""),"")</f>
        <v/>
      </c>
      <c r="D37" s="27" t="str">
        <f ca="1">IFERROR(__xludf.DUMMYFUNCTION("""COMPUTED_VALUE"""),"Oxford : Oxford University Press, 2016.")</f>
        <v>Oxford : Oxford University Press, 2016.</v>
      </c>
      <c r="E37" s="26" t="str">
        <f ca="1">IFERROR(__xludf.DUMMYFUNCTION("""COMPUTED_VALUE"""),"349.6(4-672EU) LanD e 2016")</f>
        <v>349.6(4-672EU) LanD e 2016</v>
      </c>
      <c r="F37" s="28" t="str">
        <f ca="1">IFERROR(__xludf.DUMMYFUNCTION("""COMPUTED_VALUE"""),"Αίθουσα Διεθνους Δικαίου και Εμπορικού Δικαίου")</f>
        <v>Αίθουσα Διεθνους Δικαίου και Εμπορικού Δικαίου</v>
      </c>
    </row>
    <row r="38" spans="1:6" ht="38.25" customHeight="1" x14ac:dyDescent="0.3">
      <c r="A38" s="25" t="str">
        <f ca="1">IFERROR(__xludf.DUMMYFUNCTION("""COMPUTED_VALUE"""),"Eu equality law : the first fundamental rights policy of the EU / Elise Muir.")</f>
        <v>Eu equality law : the first fundamental rights policy of the EU / Elise Muir.</v>
      </c>
      <c r="B38" s="26" t="str">
        <f ca="1">IFERROR(__xludf.DUMMYFUNCTION("""COMPUTED_VALUE"""),"Muir, Elise.")</f>
        <v>Muir, Elise.</v>
      </c>
      <c r="C38" s="26" t="str">
        <f ca="1">IFERROR(__xludf.DUMMYFUNCTION("""COMPUTED_VALUE"""),"")</f>
        <v/>
      </c>
      <c r="D38" s="27" t="str">
        <f ca="1">IFERROR(__xludf.DUMMYFUNCTION("""COMPUTED_VALUE"""),"Oxford : Oxford University Press, 2018.")</f>
        <v>Oxford : Oxford University Press, 2018.</v>
      </c>
      <c r="E38" s="26" t="str">
        <f ca="1">IFERROR(__xludf.DUMMYFUNCTION("""COMPUTED_VALUE"""),"341.231.14 (4-672EU) MuiE e 2018")</f>
        <v>341.231.14 (4-672EU) MuiE e 2018</v>
      </c>
      <c r="F38" s="28" t="str">
        <f ca="1">IFERROR(__xludf.DUMMYFUNCTION("""COMPUTED_VALUE"""),"Αίθουσα Διεθνούς δικαίου και Εμπορικού δικαίου")</f>
        <v>Αίθουσα Διεθνούς δικαίου και Εμπορικού δικαίου</v>
      </c>
    </row>
    <row r="39" spans="1:6" ht="38.25" customHeight="1" x14ac:dyDescent="0.3">
      <c r="A39" s="25" t="str">
        <f ca="1">IFERROR(__xludf.DUMMYFUNCTION("""COMPUTED_VALUE"""),"EU justice and home affairs law / Steve Peers.")</f>
        <v>EU justice and home affairs law / Steve Peers.</v>
      </c>
      <c r="B39" s="26" t="str">
        <f ca="1">IFERROR(__xludf.DUMMYFUNCTION("""COMPUTED_VALUE"""),"Peers, Steve.")</f>
        <v>Peers, Steve.</v>
      </c>
      <c r="C39" s="26" t="str">
        <f ca="1">IFERROR(__xludf.DUMMYFUNCTION("""COMPUTED_VALUE"""),"4th ed.")</f>
        <v>4th ed.</v>
      </c>
      <c r="D39" s="27" t="str">
        <f ca="1">IFERROR(__xludf.DUMMYFUNCTION("""COMPUTED_VALUE"""),"Oxford, UK   Oxford University Press, 2016.")</f>
        <v>Oxford, UK   Oxford University Press, 2016.</v>
      </c>
      <c r="E39" s="26" t="s">
        <v>3171</v>
      </c>
      <c r="F39" s="28" t="str">
        <f ca="1">IFERROR(__xludf.DUMMYFUNCTION("""COMPUTED_VALUE"""),"Αίθουσα Διεθνους Δικαίου και Εμπορικού Δικαίου")</f>
        <v>Αίθουσα Διεθνους Δικαίου και Εμπορικού Δικαίου</v>
      </c>
    </row>
    <row r="40" spans="1:6" ht="38.25" customHeight="1" x14ac:dyDescent="0.3">
      <c r="A40" s="25" t="str">
        <f ca="1">IFERROR(__xludf.DUMMYFUNCTION("""COMPUTED_VALUE"""),"EU law after Lisbon / edited by Andrea Biondi and Piet Eeckhout with Stefanie Ripley.")</f>
        <v>EU law after Lisbon / edited by Andrea Biondi and Piet Eeckhout with Stefanie Ripley.</v>
      </c>
      <c r="B40" s="26" t="str">
        <f ca="1">IFERROR(__xludf.DUMMYFUNCTION("""COMPUTED_VALUE"""),"")</f>
        <v/>
      </c>
      <c r="C40" s="26" t="str">
        <f ca="1">IFERROR(__xludf.DUMMYFUNCTION("""COMPUTED_VALUE"""),"")</f>
        <v/>
      </c>
      <c r="D40" s="27" t="str">
        <f ca="1">IFERROR(__xludf.DUMMYFUNCTION("""COMPUTED_VALUE"""),"Oxford, UK   New York : Oxford University Press, 2012.")</f>
        <v>Oxford, UK   New York : Oxford University Press, 2012.</v>
      </c>
      <c r="E40" s="26" t="str">
        <f ca="1">IFERROR(__xludf.DUMMYFUNCTION("""COMPUTED_VALUE"""),"34(4-672EU) BioA e 2012")</f>
        <v>34(4-672EU) BioA e 2012</v>
      </c>
      <c r="F40" s="28" t="str">
        <f ca="1">IFERROR(__xludf.DUMMYFUNCTION("""COMPUTED_VALUE"""),"Αίθουσα Διεθνους Δικαίου και Εμπορικού Δικαίου")</f>
        <v>Αίθουσα Διεθνους Δικαίου και Εμπορικού Δικαίου</v>
      </c>
    </row>
    <row r="41" spans="1:6" ht="38.25" customHeight="1" x14ac:dyDescent="0.3">
      <c r="A41" s="25" t="str">
        <f ca="1">IFERROR(__xludf.DUMMYFUNCTION("""COMPUTED_VALUE"""),"EU legal acts : challenges and transformations / edited by Marise Cremona and Claire Kilpatrick.")</f>
        <v>EU legal acts : challenges and transformations / edited by Marise Cremona and Claire Kilpatrick.</v>
      </c>
      <c r="B41" s="26" t="str">
        <f ca="1">IFERROR(__xludf.DUMMYFUNCTION("""COMPUTED_VALUE"""),"")</f>
        <v/>
      </c>
      <c r="C41" s="26" t="str">
        <f ca="1">IFERROR(__xludf.DUMMYFUNCTION("""COMPUTED_VALUE"""),"")</f>
        <v/>
      </c>
      <c r="D41" s="27" t="str">
        <f ca="1">IFERROR(__xludf.DUMMYFUNCTION("""COMPUTED_VALUE"""),"Oxford: Oxford University Press, 2018.")</f>
        <v>Oxford: Oxford University Press, 2018.</v>
      </c>
      <c r="E41" s="26" t="str">
        <f ca="1">IFERROR(__xludf.DUMMYFUNCTION("""COMPUTED_VALUE"""),"34(4-672EU) CreM e 2018")</f>
        <v>34(4-672EU) CreM e 2018</v>
      </c>
      <c r="F41" s="28" t="str">
        <f ca="1">IFERROR(__xludf.DUMMYFUNCTION("""COMPUTED_VALUE"""),"Αίθουσα Διεθνους Δικαίου και Εμπορικού Δικαίου")</f>
        <v>Αίθουσα Διεθνους Δικαίου και Εμπορικού Δικαίου</v>
      </c>
    </row>
    <row r="42" spans="1:6" ht="38.25" customHeight="1" x14ac:dyDescent="0.3">
      <c r="A42" s="25" t="str">
        <f ca="1">IFERROR(__xludf.DUMMYFUNCTION("""COMPUTED_VALUE"""),"EU migration law : legal complexities and political rationales / edited by Loïc Azoulai and Karin de Vries.")</f>
        <v>EU migration law : legal complexities and political rationales / edited by Loïc Azoulai and Karin de Vries.</v>
      </c>
      <c r="B42" s="26" t="str">
        <f ca="1">IFERROR(__xludf.DUMMYFUNCTION("""COMPUTED_VALUE"""),"")</f>
        <v/>
      </c>
      <c r="C42" s="26" t="str">
        <f ca="1">IFERROR(__xludf.DUMMYFUNCTION("""COMPUTED_VALUE"""),"")</f>
        <v/>
      </c>
      <c r="D42" s="27" t="str">
        <f ca="1">IFERROR(__xludf.DUMMYFUNCTION("""COMPUTED_VALUE"""),"Oxford, United Kingdom : Oxford University Press, 2014.")</f>
        <v>Oxford, United Kingdom : Oxford University Press, 2014.</v>
      </c>
      <c r="E42" s="26" t="str">
        <f ca="1">IFERROR(__xludf.DUMMYFUNCTION("""COMPUTED_VALUE"""),"341.215.4-054.72(4-672EU) AzoL e 2014")</f>
        <v>341.215.4-054.72(4-672EU) AzoL e 2014</v>
      </c>
      <c r="F42" s="28" t="str">
        <f ca="1">IFERROR(__xludf.DUMMYFUNCTION("""COMPUTED_VALUE"""),"Αίθουσα Διεθνούς Δικαίου και Εμπορικού Δικαίου")</f>
        <v>Αίθουσα Διεθνούς Δικαίου και Εμπορικού Δικαίου</v>
      </c>
    </row>
    <row r="43" spans="1:6" ht="38.25" customHeight="1" x14ac:dyDescent="0.3">
      <c r="A43" s="25" t="str">
        <f ca="1">IFERROR(__xludf.DUMMYFUNCTION("""COMPUTED_VALUE"""),"EU procedural law / Koen Lenaerts, Ignace Maselis, Kathleen Gutman ; edited by Janek Tomasz Nowak.")</f>
        <v>EU procedural law / Koen Lenaerts, Ignace Maselis, Kathleen Gutman ; edited by Janek Tomasz Nowak.</v>
      </c>
      <c r="B43" s="26" t="str">
        <f ca="1">IFERROR(__xludf.DUMMYFUNCTION("""COMPUTED_VALUE"""),"Lenaerts, Koenraad.")</f>
        <v>Lenaerts, Koenraad.</v>
      </c>
      <c r="C43" s="26" t="str">
        <f ca="1">IFERROR(__xludf.DUMMYFUNCTION("""COMPUTED_VALUE"""),"")</f>
        <v/>
      </c>
      <c r="D43" s="27" t="str">
        <f ca="1">IFERROR(__xludf.DUMMYFUNCTION("""COMPUTED_VALUE"""),"Oxford, UK : Oxford University Press, 2014.")</f>
        <v>Oxford, UK : Oxford University Press, 2014.</v>
      </c>
      <c r="E43" s="26" t="str">
        <f ca="1">IFERROR(__xludf.DUMMYFUNCTION("""COMPUTED_VALUE"""),"341.98(4-672EU) LenK e 2014")</f>
        <v>341.98(4-672EU) LenK e 2014</v>
      </c>
      <c r="F43" s="28" t="str">
        <f ca="1">IFERROR(__xludf.DUMMYFUNCTION("""COMPUTED_VALUE"""),"Αίθουσα Διεθνους Δικαίου και Εμπορικού Δικαίου")</f>
        <v>Αίθουσα Διεθνους Δικαίου και Εμπορικού Δικαίου</v>
      </c>
    </row>
    <row r="44" spans="1:6" ht="38.25" customHeight="1" x14ac:dyDescent="0.3">
      <c r="A44" s="25" t="str">
        <f ca="1">IFERROR(__xludf.DUMMYFUNCTION("""COMPUTED_VALUE"""),"EU tax law : direct taxation / Marjaana Helminen.")</f>
        <v>EU tax law : direct taxation / Marjaana Helminen.</v>
      </c>
      <c r="B44" s="26" t="str">
        <f ca="1">IFERROR(__xludf.DUMMYFUNCTION("""COMPUTED_VALUE"""),"Helminen, Marjaana.")</f>
        <v>Helminen, Marjaana.</v>
      </c>
      <c r="C44" s="26" t="str">
        <f ca="1">IFERROR(__xludf.DUMMYFUNCTION("""COMPUTED_VALUE"""),"")</f>
        <v/>
      </c>
      <c r="D44" s="27" t="str">
        <f ca="1">IFERROR(__xludf.DUMMYFUNCTION("""COMPUTED_VALUE"""),"Amsterdam : IBFD, 2018.")</f>
        <v>Amsterdam : IBFD, 2018.</v>
      </c>
      <c r="E44" s="26" t="str">
        <f ca="1">IFERROR(__xludf.DUMMYFUNCTION("""COMPUTED_VALUE"""),"351.71(4-672EU) HelM e 2018")</f>
        <v>351.71(4-672EU) HelM e 2018</v>
      </c>
      <c r="F44" s="28" t="str">
        <f ca="1">IFERROR(__xludf.DUMMYFUNCTION("""COMPUTED_VALUE"""),"Αίθουσα Δημοσίου Δικαίου")</f>
        <v>Αίθουσα Δημοσίου Δικαίου</v>
      </c>
    </row>
    <row r="45" spans="1:6" ht="38.25" customHeight="1" x14ac:dyDescent="0.3">
      <c r="A45" s="25" t="str">
        <f ca="1">IFERROR(__xludf.DUMMYFUNCTION("""COMPUTED_VALUE"""),"European energy law and policy: an introduction/ Heiko Krüger.")</f>
        <v>European energy law and policy: an introduction/ Heiko Krüger.</v>
      </c>
      <c r="B45" s="26" t="str">
        <f ca="1">IFERROR(__xludf.DUMMYFUNCTION("""COMPUTED_VALUE"""),"Krüger, Heiko.")</f>
        <v>Krüger, Heiko.</v>
      </c>
      <c r="C45" s="26" t="str">
        <f ca="1">IFERROR(__xludf.DUMMYFUNCTION("""COMPUTED_VALUE"""),"")</f>
        <v/>
      </c>
      <c r="D45" s="27" t="str">
        <f ca="1">IFERROR(__xludf.DUMMYFUNCTION("""COMPUTED_VALUE"""),"Cheltenham, UK: Edward Elgar Publishing, 2016.")</f>
        <v>Cheltenham, UK: Edward Elgar Publishing, 2016.</v>
      </c>
      <c r="E45" s="26" t="str">
        <f ca="1">IFERROR(__xludf.DUMMYFUNCTION("""COMPUTED_VALUE"""),"351.824.11 KruH e 2016")</f>
        <v>351.824.11 KruH e 2016</v>
      </c>
      <c r="F45" s="28" t="str">
        <f ca="1">IFERROR(__xludf.DUMMYFUNCTION("""COMPUTED_VALUE"""),"Αίθουσα Δημοσίου Δικαίου")</f>
        <v>Αίθουσα Δημοσίου Δικαίου</v>
      </c>
    </row>
    <row r="46" spans="1:6" ht="38.25" customHeight="1" x14ac:dyDescent="0.3">
      <c r="A46" s="25" t="str">
        <f ca="1">IFERROR(__xludf.DUMMYFUNCTION("""COMPUTED_VALUE"""),"Foucault : the birth of power / Stuart Elden.")</f>
        <v>Foucault : the birth of power / Stuart Elden.</v>
      </c>
      <c r="B46" s="26" t="str">
        <f ca="1">IFERROR(__xludf.DUMMYFUNCTION("""COMPUTED_VALUE"""),"Elden, Stuart, 1971-")</f>
        <v>Elden, Stuart, 1971-</v>
      </c>
      <c r="C46" s="26" t="str">
        <f ca="1">IFERROR(__xludf.DUMMYFUNCTION("""COMPUTED_VALUE"""),"")</f>
        <v/>
      </c>
      <c r="D46" s="27" t="str">
        <f ca="1">IFERROR(__xludf.DUMMYFUNCTION("""COMPUTED_VALUE"""),"Malden, MA : Polity Press, 2017.")</f>
        <v>Malden, MA : Polity Press, 2017.</v>
      </c>
      <c r="E46" s="26" t="str">
        <f ca="1">IFERROR(__xludf.DUMMYFUNCTION("""COMPUTED_VALUE"""),"1(44)(092) FouM EldS f 2017")</f>
        <v>1(44)(092) FouM EldS f 2017</v>
      </c>
      <c r="F46" s="28" t="str">
        <f ca="1">IFERROR(__xludf.DUMMYFUNCTION("""COMPUTED_VALUE"""),"Αίθουσα Ιστορίας, Θεωρίας και Φιλοσοφίας του Δικαίου")</f>
        <v>Αίθουσα Ιστορίας, Θεωρίας και Φιλοσοφίας του Δικαίου</v>
      </c>
    </row>
    <row r="47" spans="1:6" ht="38.25" customHeight="1" x14ac:dyDescent="0.3">
      <c r="A47" s="25" t="str">
        <f ca="1">IFERROR(__xludf.DUMMYFUNCTION("""COMPUTED_VALUE"""),"General principles of law and international investment arbitration / edited by Andrea Gattini, Attila Tanzi, Filippo Fontanelli.")</f>
        <v>General principles of law and international investment arbitration / edited by Andrea Gattini, Attila Tanzi, Filippo Fontanelli.</v>
      </c>
      <c r="B47" s="26" t="str">
        <f ca="1">IFERROR(__xludf.DUMMYFUNCTION("""COMPUTED_VALUE"""),"")</f>
        <v/>
      </c>
      <c r="C47" s="26" t="str">
        <f ca="1">IFERROR(__xludf.DUMMYFUNCTION("""COMPUTED_VALUE"""),"")</f>
        <v/>
      </c>
      <c r="D47" s="27" t="str">
        <f ca="1">IFERROR(__xludf.DUMMYFUNCTION("""COMPUTED_VALUE"""),"Leiden   Boston : Brill Nijhoff, 2018.")</f>
        <v>Leiden   Boston : Brill Nijhoff, 2018.</v>
      </c>
      <c r="E47" s="26" t="str">
        <f ca="1">IFERROR(__xludf.DUMMYFUNCTION("""COMPUTED_VALUE"""),"341.63:347.7 GatA g 2018")</f>
        <v>341.63:347.7 GatA g 2018</v>
      </c>
      <c r="F47" s="28" t="str">
        <f ca="1">IFERROR(__xludf.DUMMYFUNCTION("""COMPUTED_VALUE"""),"Αίθουσα Διεθνούς Δικαίου και Εμπορικού Δικαίου")</f>
        <v>Αίθουσα Διεθνούς Δικαίου και Εμπορικού Δικαίου</v>
      </c>
    </row>
    <row r="48" spans="1:6" ht="38.25" customHeight="1" x14ac:dyDescent="0.3">
      <c r="A48" s="25" t="str">
        <f ca="1">IFERROR(__xludf.DUMMYFUNCTION("""COMPUTED_VALUE"""),"Gli strateghi dell'Arsinoites in epoca romana / Guido Bastianini.")</f>
        <v>Gli strateghi dell'Arsinoites in epoca romana / Guido Bastianini.</v>
      </c>
      <c r="B48" s="26" t="str">
        <f ca="1">IFERROR(__xludf.DUMMYFUNCTION("""COMPUTED_VALUE"""),"Bastianini, Guido.")</f>
        <v>Bastianini, Guido.</v>
      </c>
      <c r="C48" s="26" t="str">
        <f ca="1">IFERROR(__xludf.DUMMYFUNCTION("""COMPUTED_VALUE"""),"")</f>
        <v/>
      </c>
      <c r="D48" s="27" t="str">
        <f ca="1">IFERROR(__xludf.DUMMYFUNCTION("""COMPUTED_VALUE"""),"Bruxelles : Fondation égyptologique reine Élisabeth, 1972.")</f>
        <v>Bruxelles : Fondation égyptologique reine Élisabeth, 1972.</v>
      </c>
      <c r="E48" s="26" t="str">
        <f ca="1">IFERROR(__xludf.DUMMYFUNCTION("""COMPUTED_VALUE"""),"091.2(32) BasG s 1972")</f>
        <v>091.2(32) BasG s 1972</v>
      </c>
      <c r="F48" s="28" t="str">
        <f ca="1">IFERROR(__xludf.DUMMYFUNCTION("""COMPUTED_VALUE"""),"Αίθουσα ιστορίας, Θεωρίας και Φιλοσοφίας του Δικαίου")</f>
        <v>Αίθουσα ιστορίας, Θεωρίας και Φιλοσοφίας του Δικαίου</v>
      </c>
    </row>
    <row r="49" spans="1:6" ht="38.25" customHeight="1" x14ac:dyDescent="0.3">
      <c r="A49" s="25" t="s">
        <v>3172</v>
      </c>
      <c r="B49" s="26" t="str">
        <f ca="1">IFERROR(__xludf.DUMMYFUNCTION("""COMPUTED_VALUE"""),"")</f>
        <v/>
      </c>
      <c r="C49" s="26" t="str">
        <f ca="1">IFERROR(__xludf.DUMMYFUNCTION("""COMPUTED_VALUE"""),"")</f>
        <v/>
      </c>
      <c r="D49" s="27" t="str">
        <f ca="1">IFERROR(__xludf.DUMMYFUNCTION("""COMPUTED_VALUE"""),"Paris : A. Pedone,  2015-2019")</f>
        <v>Paris : A. Pedone,  2015-2019</v>
      </c>
      <c r="E49" s="26" t="str">
        <f ca="1">IFERROR(__xludf.DUMMYFUNCTION("""COMPUTED_VALUE"""),"341 GPD 2017 3")</f>
        <v>341 GPD 2017 3</v>
      </c>
      <c r="F49" s="28" t="s">
        <v>145</v>
      </c>
    </row>
    <row r="50" spans="1:6" ht="38.25" customHeight="1" x14ac:dyDescent="0.3">
      <c r="A50" s="25" t="str">
        <f ca="1">IFERROR(__xludf.DUMMYFUNCTION("""COMPUTED_VALUE"""),"Grandes pages du droit international.")</f>
        <v>Grandes pages du droit international.</v>
      </c>
      <c r="B50" s="26" t="str">
        <f ca="1">IFERROR(__xludf.DUMMYFUNCTION("""COMPUTED_VALUE"""),"")</f>
        <v/>
      </c>
      <c r="C50" s="26" t="str">
        <f ca="1">IFERROR(__xludf.DUMMYFUNCTION("""COMPUTED_VALUE"""),"")</f>
        <v/>
      </c>
      <c r="D50" s="27" t="str">
        <f ca="1">IFERROR(__xludf.DUMMYFUNCTION("""COMPUTED_VALUE"""),"Paris : A. Pedone,  2015-2019")</f>
        <v>Paris : A. Pedone,  2015-2019</v>
      </c>
      <c r="E50" s="26" t="str">
        <f ca="1">IFERROR(__xludf.DUMMYFUNCTION("""COMPUTED_VALUE"""),"341 GPD 2019 5")</f>
        <v>341 GPD 2019 5</v>
      </c>
      <c r="F50" s="28" t="s">
        <v>145</v>
      </c>
    </row>
    <row r="51" spans="1:6" ht="38.25" customHeight="1" x14ac:dyDescent="0.3">
      <c r="A51" s="25" t="str">
        <f ca="1">IFERROR(__xludf.DUMMYFUNCTION("""COMPUTED_VALUE"""),"Hanbury and Martin modern equity / Jamie Glister, James Lee.")</f>
        <v>Hanbury and Martin modern equity / Jamie Glister, James Lee.</v>
      </c>
      <c r="B51" s="26" t="str">
        <f ca="1">IFERROR(__xludf.DUMMYFUNCTION("""COMPUTED_VALUE"""),"Glister, James.")</f>
        <v>Glister, James.</v>
      </c>
      <c r="C51" s="26" t="str">
        <f ca="1">IFERROR(__xludf.DUMMYFUNCTION("""COMPUTED_VALUE"""),"20th ed.")</f>
        <v>20th ed.</v>
      </c>
      <c r="D51" s="27" t="str">
        <f ca="1">IFERROR(__xludf.DUMMYFUNCTION("""COMPUTED_VALUE"""),"London : Sweet &amp; Maxwell/Thomson Reuters, 2015.")</f>
        <v>London : Sweet &amp; Maxwell/Thomson Reuters, 2015.</v>
      </c>
      <c r="E51" s="26" t="str">
        <f ca="1">IFERROR(__xludf.DUMMYFUNCTION("""COMPUTED_VALUE"""),"347.129(410.1) GliJ h 2015")</f>
        <v>347.129(410.1) GliJ h 2015</v>
      </c>
      <c r="F51" s="28" t="str">
        <f ca="1">IFERROR(__xludf.DUMMYFUNCTION("""COMPUTED_VALUE"""),"Αίθουσα Αστικού και Αστικονομικού Δικαίου")</f>
        <v>Αίθουσα Αστικού και Αστικονομικού Δικαίου</v>
      </c>
    </row>
    <row r="52" spans="1:6" ht="38.25" customHeight="1" x14ac:dyDescent="0.3">
      <c r="A52" s="25" t="str">
        <f ca="1">IFERROR(__xludf.DUMMYFUNCTION("""COMPUTED_VALUE"""),"How to regulate : a guide for policymakers / Thomas A. Lambert")</f>
        <v>How to regulate : a guide for policymakers / Thomas A. Lambert</v>
      </c>
      <c r="B52" s="26" t="str">
        <f ca="1">IFERROR(__xludf.DUMMYFUNCTION("""COMPUTED_VALUE"""),"Lambert, Thomas, 1971-")</f>
        <v>Lambert, Thomas, 1971-</v>
      </c>
      <c r="C52" s="26" t="str">
        <f ca="1">IFERROR(__xludf.DUMMYFUNCTION("""COMPUTED_VALUE"""),"")</f>
        <v/>
      </c>
      <c r="D52" s="27" t="str">
        <f ca="1">IFERROR(__xludf.DUMMYFUNCTION("""COMPUTED_VALUE"""),"Cambridge, UK   New York, NY, USA : Cambridge University Press, 2017.")</f>
        <v>Cambridge, UK   New York, NY, USA : Cambridge University Press, 2017.</v>
      </c>
      <c r="E52" s="26" t="str">
        <f ca="1">IFERROR(__xludf.DUMMYFUNCTION("""COMPUTED_VALUE"""),"35.078.2 LamT h 2017")</f>
        <v>35.078.2 LamT h 2017</v>
      </c>
      <c r="F52" s="28" t="str">
        <f ca="1">IFERROR(__xludf.DUMMYFUNCTION("""COMPUTED_VALUE"""),"Αίθουσα Δημοσίου Δικαίου")</f>
        <v>Αίθουσα Δημοσίου Δικαίου</v>
      </c>
    </row>
    <row r="53" spans="1:6" ht="38.25" customHeight="1" x14ac:dyDescent="0.3">
      <c r="A53" s="25" t="str">
        <f ca="1">IFERROR(__xludf.DUMMYFUNCTION("""COMPUTED_VALUE"""),"Il mondo nuovo : la costituzione romana nella  storia di roma arcaica  di Dionigi d'Alicarnasso / Lorenzo Fascione.")</f>
        <v>Il mondo nuovo : la costituzione romana nella  storia di roma arcaica  di Dionigi d'Alicarnasso / Lorenzo Fascione.</v>
      </c>
      <c r="B53" s="26" t="str">
        <f ca="1">IFERROR(__xludf.DUMMYFUNCTION("""COMPUTED_VALUE"""),"Fascione, Lorenzo.")</f>
        <v>Fascione, Lorenzo.</v>
      </c>
      <c r="C53" s="26" t="str">
        <f ca="1">IFERROR(__xludf.DUMMYFUNCTION("""COMPUTED_VALUE"""),"")</f>
        <v/>
      </c>
      <c r="D53" s="27" t="str">
        <f ca="1">IFERROR(__xludf.DUMMYFUNCTION("""COMPUTED_VALUE"""),"Napoli : Jovene,  1988.")</f>
        <v>Napoli : Jovene,  1988.</v>
      </c>
      <c r="E53" s="26" t="str">
        <f ca="1">IFERROR(__xludf.DUMMYFUNCTION("""COMPUTED_VALUE"""),"342(37)(091) FasL m 1988")</f>
        <v>342(37)(091) FasL m 1988</v>
      </c>
      <c r="F53" s="28" t="str">
        <f ca="1">IFERROR(__xludf.DUMMYFUNCTION("""COMPUTED_VALUE"""),"Αίθουσα Ιστορίας, Θεωρίας και Φιλοσοφίας του Δικαίου")</f>
        <v>Αίθουσα Ιστορίας, Θεωρίας και Φιλοσοφίας του Δικαίου</v>
      </c>
    </row>
    <row r="54" spans="1:6" ht="89.25" customHeight="1" x14ac:dyDescent="0.3">
      <c r="A54" s="25" t="str">
        <f ca="1">IFERROR(__xludf.DUMMYFUNCTION("""COMPUTED_VALUE"""),"Insula sacra : la loi Gabinia-Calpurnia de Delos (58 av. J.-C.) / edition et commentaire sous la direction de Claude Nicolet   par Jean-Christian Dumont ... [et al.]   index realise par Segolene Demougin et Mouza Raskolnikoff.")</f>
        <v>Insula sacra : la loi Gabinia-Calpurnia de Delos (58 av. J.-C.) / edition et commentaire sous la direction de Claude Nicolet   par Jean-Christian Dumont ... [et al.]   index realise par Segolene Demougin et Mouza Raskolnikoff.</v>
      </c>
      <c r="B54" s="26" t="str">
        <f ca="1">IFERROR(__xludf.DUMMYFUNCTION("""COMPUTED_VALUE"""),"Nicolet, Claude, 1930-")</f>
        <v>Nicolet, Claude, 1930-</v>
      </c>
      <c r="C54" s="26" t="str">
        <f ca="1">IFERROR(__xludf.DUMMYFUNCTION("""COMPUTED_VALUE"""),"")</f>
        <v/>
      </c>
      <c r="D54" s="27" t="str">
        <f ca="1">IFERROR(__xludf.DUMMYFUNCTION("""COMPUTED_VALUE"""),"Rome : Ecole francaise de Rome, 1980.")</f>
        <v>Rome : Ecole francaise de Rome, 1980.</v>
      </c>
      <c r="E54" s="26" t="str">
        <f ca="1">IFERROR(__xludf.DUMMYFUNCTION("""COMPUTED_VALUE"""),"736.2(37) NicC i 1980")</f>
        <v>736.2(37) NicC i 1980</v>
      </c>
      <c r="F54" s="28" t="str">
        <f ca="1">IFERROR(__xludf.DUMMYFUNCTION("""COMPUTED_VALUE"""),"Αίθουσα Ιστρορίας, Θεωρίας και Φιλοσοφίας του Δικαίου")</f>
        <v>Αίθουσα Ιστρορίας, Θεωρίας και Φιλοσοφίας του Δικαίου</v>
      </c>
    </row>
    <row r="55" spans="1:6" ht="38.25" customHeight="1" x14ac:dyDescent="0.3">
      <c r="A55" s="25" t="str">
        <f ca="1">IFERROR(__xludf.DUMMYFUNCTION("""COMPUTED_VALUE"""),"International institutional law : unity within diversity / by Henry G. Schermers, Niels M. Blokker.")</f>
        <v>International institutional law : unity within diversity / by Henry G. Schermers, Niels M. Blokker.</v>
      </c>
      <c r="B55" s="26" t="str">
        <f ca="1">IFERROR(__xludf.DUMMYFUNCTION("""COMPUTED_VALUE"""),"Schermers, Henry G.")</f>
        <v>Schermers, Henry G.</v>
      </c>
      <c r="C55" s="26" t="str">
        <f ca="1">IFERROR(__xludf.DUMMYFUNCTION("""COMPUTED_VALUE"""),"6th rev. ed.")</f>
        <v>6th rev. ed.</v>
      </c>
      <c r="D55" s="27" t="str">
        <f ca="1">IFERROR(__xludf.DUMMYFUNCTION("""COMPUTED_VALUE"""),"Leiden   Boston : Brill Nijhoff, 2018.")</f>
        <v>Leiden   Boston : Brill Nijhoff, 2018.</v>
      </c>
      <c r="E55" s="26" t="str">
        <f ca="1">IFERROR(__xludf.DUMMYFUNCTION("""COMPUTED_VALUE"""),"341.1 SchH i 2018")</f>
        <v>341.1 SchH i 2018</v>
      </c>
      <c r="F55" s="28" t="str">
        <f ca="1">IFERROR(__xludf.DUMMYFUNCTION("""COMPUTED_VALUE"""),"Αίθουσα Διεθνούς Δικαίου και Εμπορικού Δικαίου")</f>
        <v>Αίθουσα Διεθνούς Δικαίου και Εμπορικού Δικαίου</v>
      </c>
    </row>
    <row r="56" spans="1:6" ht="38.25" customHeight="1" x14ac:dyDescent="0.3">
      <c r="A56" s="25" t="str">
        <f ca="1">IFERROR(__xludf.DUMMYFUNCTION("""COMPUTED_VALUE"""),"Interpretation of international investment treaties / Tarcisio Gazzini.")</f>
        <v>Interpretation of international investment treaties / Tarcisio Gazzini.</v>
      </c>
      <c r="B56" s="26" t="str">
        <f ca="1">IFERROR(__xludf.DUMMYFUNCTION("""COMPUTED_VALUE"""),"Gazzini, Tarcisio.")</f>
        <v>Gazzini, Tarcisio.</v>
      </c>
      <c r="C56" s="26" t="str">
        <f ca="1">IFERROR(__xludf.DUMMYFUNCTION("""COMPUTED_VALUE"""),"")</f>
        <v/>
      </c>
      <c r="D56" s="27" t="str">
        <f ca="1">IFERROR(__xludf.DUMMYFUNCTION("""COMPUTED_VALUE"""),"Oxford, UK   Portland, Oregon : Hart Publishing, 2016.")</f>
        <v>Oxford, UK   Portland, Oregon : Hart Publishing, 2016.</v>
      </c>
      <c r="E56" s="26" t="str">
        <f ca="1">IFERROR(__xludf.DUMMYFUNCTION("""COMPUTED_VALUE"""),"346 GazT i 2016")</f>
        <v>346 GazT i 2016</v>
      </c>
      <c r="F56" s="28" t="str">
        <f ca="1">IFERROR(__xludf.DUMMYFUNCTION("""COMPUTED_VALUE"""),"Αίθουσα Διεθνούς Δικαίου και Εμπορικού Δικαίου")</f>
        <v>Αίθουσα Διεθνούς Δικαίου και Εμπορικού Δικαίου</v>
      </c>
    </row>
    <row r="57" spans="1:6" ht="38.25" customHeight="1" x14ac:dyDescent="0.3">
      <c r="A57" s="25" t="str">
        <f ca="1">IFERROR(__xludf.DUMMYFUNCTION("""COMPUTED_VALUE"""),"Judicial decision-making in a globalised world : a comparative analysis of the changing practices of western highest courts / Elaine Mak.")</f>
        <v>Judicial decision-making in a globalised world : a comparative analysis of the changing practices of western highest courts / Elaine Mak.</v>
      </c>
      <c r="B57" s="26" t="str">
        <f ca="1">IFERROR(__xludf.DUMMYFUNCTION("""COMPUTED_VALUE"""),"Mak, Elaine 1979-")</f>
        <v>Mak, Elaine 1979-</v>
      </c>
      <c r="C57" s="26" t="str">
        <f ca="1">IFERROR(__xludf.DUMMYFUNCTION("""COMPUTED_VALUE"""),"")</f>
        <v/>
      </c>
      <c r="D57" s="27" t="str">
        <f ca="1">IFERROR(__xludf.DUMMYFUNCTION("""COMPUTED_VALUE"""),"Oxford   Portland, Oregon : Hart Publishing, 2015.")</f>
        <v>Oxford   Portland, Oregon : Hart Publishing, 2015.</v>
      </c>
      <c r="E57" s="26" t="str">
        <f ca="1">IFERROR(__xludf.DUMMYFUNCTION("""COMPUTED_VALUE"""),"345.56 MakE j 2015")</f>
        <v>345.56 MakE j 2015</v>
      </c>
      <c r="F57" s="28" t="str">
        <f ca="1">IFERROR(__xludf.DUMMYFUNCTION("""COMPUTED_VALUE"""),"Αίθουσα Δημοσίου Δικαίου")</f>
        <v>Αίθουσα Δημοσίου Δικαίου</v>
      </c>
    </row>
    <row r="58" spans="1:6" ht="38.25" customHeight="1" x14ac:dyDescent="0.3">
      <c r="A58" s="25" t="str">
        <f ca="1">IFERROR(__xludf.DUMMYFUNCTION("""COMPUTED_VALUE"""),"La falsification de l'histoire de la Macédoine / Nicolaos K. Martis ; traduction Marc et Jean-André Vlachos.")</f>
        <v>La falsification de l'histoire de la Macédoine / Nicolaos K. Martis ; traduction Marc et Jean-André Vlachos.</v>
      </c>
      <c r="B58" s="26" t="str">
        <f ca="1">IFERROR(__xludf.DUMMYFUNCTION("""COMPUTED_VALUE"""),"Μάρτης, Νικόλαος Κ., 1915-")</f>
        <v>Μάρτης, Νικόλαος Κ., 1915-</v>
      </c>
      <c r="C58" s="26" t="str">
        <f ca="1">IFERROR(__xludf.DUMMYFUNCTION("""COMPUTED_VALUE"""),"")</f>
        <v/>
      </c>
      <c r="D58" s="27" t="str">
        <f ca="1">IFERROR(__xludf.DUMMYFUNCTION("""COMPUTED_VALUE"""),"Athènes : Fondation Alexandre S. Onassis, 1984.")</f>
        <v>Athènes : Fondation Alexandre S. Onassis, 1984.</v>
      </c>
      <c r="E58" s="26" t="str">
        <f ca="1">IFERROR(__xludf.DUMMYFUNCTION("""COMPUTED_VALUE"""),"94(495.6) ΜαρΝ f 1984")</f>
        <v>94(495.6) ΜαρΝ f 1984</v>
      </c>
      <c r="F58" s="28" t="str">
        <f ca="1">IFERROR(__xludf.DUMMYFUNCTION("""COMPUTED_VALUE"""),"Αίθουσα Ιστορίας, Θεωρίας και Φιλοσοφίας του Δικαίου")</f>
        <v>Αίθουσα Ιστορίας, Θεωρίας και Φιλοσοφίας του Δικαίου</v>
      </c>
    </row>
    <row r="59" spans="1:6" ht="38.25" customHeight="1" x14ac:dyDescent="0.3">
      <c r="A59" s="25" t="str">
        <f ca="1">IFERROR(__xludf.DUMMYFUNCTION("""COMPUTED_VALUE"""),"La monarchie absolue en europe : du Ve siècle à nos jours / Roland Mousnier.")</f>
        <v>La monarchie absolue en europe : du Ve siècle à nos jours / Roland Mousnier.</v>
      </c>
      <c r="B59" s="26" t="str">
        <f ca="1">IFERROR(__xludf.DUMMYFUNCTION("""COMPUTED_VALUE"""),"Mousnier, Roland.")</f>
        <v>Mousnier, Roland.</v>
      </c>
      <c r="C59" s="26" t="str">
        <f ca="1">IFERROR(__xludf.DUMMYFUNCTION("""COMPUTED_VALUE"""),"")</f>
        <v/>
      </c>
      <c r="D59" s="27" t="str">
        <f ca="1">IFERROR(__xludf.DUMMYFUNCTION("""COMPUTED_VALUE"""),"Paris : Presses universitaires de France, 1982.")</f>
        <v>Paris : Presses universitaires de France, 1982.</v>
      </c>
      <c r="E59" s="26" t="str">
        <f ca="1">IFERROR(__xludf.DUMMYFUNCTION("""COMPUTED_VALUE"""),"342.36 MouR m 1982")</f>
        <v>342.36 MouR m 1982</v>
      </c>
      <c r="F59" s="28" t="str">
        <f ca="1">IFERROR(__xludf.DUMMYFUNCTION("""COMPUTED_VALUE"""),"Αίθουσα Δημοσίου Δικαίου")</f>
        <v>Αίθουσα Δημοσίου Δικαίου</v>
      </c>
    </row>
    <row r="60" spans="1:6" ht="38.25" customHeight="1" x14ac:dyDescent="0.3">
      <c r="A60" s="25" t="str">
        <f ca="1">IFERROR(__xludf.DUMMYFUNCTION("""COMPUTED_VALUE"""),"La police religieuse dans l'ancienne France / Gabriel Le Bras.")</f>
        <v>La police religieuse dans l'ancienne France / Gabriel Le Bras.</v>
      </c>
      <c r="B60" s="26" t="str">
        <f ca="1">IFERROR(__xludf.DUMMYFUNCTION("""COMPUTED_VALUE"""),"Le Bras, Gabriel.")</f>
        <v>Le Bras, Gabriel.</v>
      </c>
      <c r="C60" s="26" t="str">
        <f ca="1">IFERROR(__xludf.DUMMYFUNCTION("""COMPUTED_VALUE"""),"")</f>
        <v/>
      </c>
      <c r="D60" s="27" t="str">
        <f ca="1">IFERROR(__xludf.DUMMYFUNCTION("""COMPUTED_VALUE"""),"Paris : Mille et une nuits, 2010.")</f>
        <v>Paris : Mille et une nuits, 2010.</v>
      </c>
      <c r="E60" s="26" t="str">
        <f ca="1">IFERROR(__xludf.DUMMYFUNCTION("""COMPUTED_VALUE"""),"351.746(44)(091) LeB p 2010")</f>
        <v>351.746(44)(091) LeB p 2010</v>
      </c>
      <c r="F60" s="28" t="str">
        <f ca="1">IFERROR(__xludf.DUMMYFUNCTION("""COMPUTED_VALUE"""),"Αίθουσα Ιστρορίας, Θεωρίας και Φιλοσοφίας του Δικαίου")</f>
        <v>Αίθουσα Ιστρορίας, Θεωρίας και Φιλοσοφίας του Δικαίου</v>
      </c>
    </row>
    <row r="61" spans="1:6" ht="38.25" customHeight="1" x14ac:dyDescent="0.3">
      <c r="A61" s="25" t="str">
        <f ca="1">IFERROR(__xludf.DUMMYFUNCTION("""COMPUTED_VALUE"""),"La religion grecque / Roland Martin, Henri Metzger.")</f>
        <v>La religion grecque / Roland Martin, Henri Metzger.</v>
      </c>
      <c r="B61" s="26" t="str">
        <f ca="1">IFERROR(__xludf.DUMMYFUNCTION("""COMPUTED_VALUE"""),"Martin, Roland, 1912-1997.")</f>
        <v>Martin, Roland, 1912-1997.</v>
      </c>
      <c r="C61" s="26" t="str">
        <f ca="1">IFERROR(__xludf.DUMMYFUNCTION("""COMPUTED_VALUE"""),"")</f>
        <v/>
      </c>
      <c r="D61" s="27" t="str">
        <f ca="1">IFERROR(__xludf.DUMMYFUNCTION("""COMPUTED_VALUE"""),"[Paris] : Presses universitaires de France, 1976.")</f>
        <v>[Paris] : Presses universitaires de France, 1976.</v>
      </c>
      <c r="E61" s="26" t="str">
        <f ca="1">IFERROR(__xludf.DUMMYFUNCTION("""COMPUTED_VALUE"""),"255.2 MarR r 1976")</f>
        <v>255.2 MarR r 1976</v>
      </c>
      <c r="F61" s="28" t="str">
        <f ca="1">IFERROR(__xludf.DUMMYFUNCTION("""COMPUTED_VALUE"""),"Αίθουσα Ιστρορίας, Θεωρίας και Φιλοσοφίας του Δικαίου")</f>
        <v>Αίθουσα Ιστρορίας, Θεωρίας και Φιλοσοφίας του Δικαίου</v>
      </c>
    </row>
    <row r="62" spans="1:6" ht="38.25" customHeight="1" x14ac:dyDescent="0.3">
      <c r="A62" s="25" t="str">
        <f ca="1">IFERROR(__xludf.DUMMYFUNCTION("""COMPUTED_VALUE"""),"Landmark cases in public law / edited by A5.")</f>
        <v>Landmark cases in public law / edited by A5.</v>
      </c>
      <c r="B62" s="26" t="s">
        <v>2614</v>
      </c>
      <c r="C62" s="26" t="str">
        <f ca="1">IFERROR(__xludf.DUMMYFUNCTION("""COMPUTED_VALUE"""),"")</f>
        <v/>
      </c>
      <c r="D62" s="27" t="str">
        <f ca="1">IFERROR(__xludf.DUMMYFUNCTION("""COMPUTED_VALUE"""),"Oxford   Portland, Oregon : Hart Publishing, 2017.")</f>
        <v>Oxford   Portland, Oregon : Hart Publishing, 2017.</v>
      </c>
      <c r="E62" s="26" t="str">
        <f ca="1">IFERROR(__xludf.DUMMYFUNCTION("""COMPUTED_VALUE"""),"342(410)(094.9) JusS l 2017")</f>
        <v>342(410)(094.9) JusS l 2017</v>
      </c>
      <c r="F62" s="28" t="str">
        <f ca="1">IFERROR(__xludf.DUMMYFUNCTION("""COMPUTED_VALUE"""),"Αίθουσα Δημοσίου Δικαίου")</f>
        <v>Αίθουσα Δημοσίου Δικαίου</v>
      </c>
    </row>
    <row r="63" spans="1:6" ht="38.25" customHeight="1" x14ac:dyDescent="0.3">
      <c r="A63" s="25" t="str">
        <f ca="1">IFERROR(__xludf.DUMMYFUNCTION("""COMPUTED_VALUE"""),"Law and disagreement / Jeremy Waldron.")</f>
        <v>Law and disagreement / Jeremy Waldron.</v>
      </c>
      <c r="B63" s="26" t="str">
        <f ca="1">IFERROR(__xludf.DUMMYFUNCTION("""COMPUTED_VALUE"""),"Waldron, Jeremy.")</f>
        <v>Waldron, Jeremy.</v>
      </c>
      <c r="C63" s="26" t="str">
        <f ca="1">IFERROR(__xludf.DUMMYFUNCTION("""COMPUTED_VALUE"""),"")</f>
        <v/>
      </c>
      <c r="D63" s="27" t="str">
        <f ca="1">IFERROR(__xludf.DUMMYFUNCTION("""COMPUTED_VALUE"""),"Oxford : Oxford University Press, 2004.")</f>
        <v>Oxford : Oxford University Press, 2004.</v>
      </c>
      <c r="E63" s="26" t="str">
        <f ca="1">IFERROR(__xludf.DUMMYFUNCTION("""COMPUTED_VALUE"""),"342.34 WalJ l 2004")</f>
        <v>342.34 WalJ l 2004</v>
      </c>
      <c r="F63" s="28" t="str">
        <f ca="1">IFERROR(__xludf.DUMMYFUNCTION("""COMPUTED_VALUE"""),"Αίθουσα Δημοσίου Δικαίου")</f>
        <v>Αίθουσα Δημοσίου Δικαίου</v>
      </c>
    </row>
    <row r="64" spans="1:6" ht="38.25" customHeight="1" x14ac:dyDescent="0.3">
      <c r="A64" s="25" t="str">
        <f ca="1">IFERROR(__xludf.DUMMYFUNCTION("""COMPUTED_VALUE"""),"Law and practice of the United Nations : documents and commentary / Simon Chesterman, Ian Johnstone, David M. Malone.")</f>
        <v>Law and practice of the United Nations : documents and commentary / Simon Chesterman, Ian Johnstone, David M. Malone.</v>
      </c>
      <c r="B64" s="26" t="str">
        <f ca="1">IFERROR(__xludf.DUMMYFUNCTION("""COMPUTED_VALUE"""),"Chesterman, Simon, συγγραφέας.")</f>
        <v>Chesterman, Simon, συγγραφέας.</v>
      </c>
      <c r="C64" s="26" t="str">
        <f ca="1">IFERROR(__xludf.DUMMYFUNCTION("""COMPUTED_VALUE"""),"2nd ed.")</f>
        <v>2nd ed.</v>
      </c>
      <c r="D64" s="27" t="str">
        <f ca="1">IFERROR(__xludf.DUMMYFUNCTION("""COMPUTED_VALUE"""),"Oxford   New York, NY : Oxford University Press, 2016")</f>
        <v>Oxford   New York, NY : Oxford University Press, 2016</v>
      </c>
      <c r="E64" s="26" t="str">
        <f ca="1">IFERROR(__xludf.DUMMYFUNCTION("""COMPUTED_VALUE"""),"341.123 CheS l 2016")</f>
        <v>341.123 CheS l 2016</v>
      </c>
      <c r="F64" s="28" t="str">
        <f ca="1">IFERROR(__xludf.DUMMYFUNCTION("""COMPUTED_VALUE"""),"Αίθουσα Διεθνούς Δικαίου και Εμπορικού Δικαίου")</f>
        <v>Αίθουσα Διεθνούς Δικαίου και Εμπορικού Δικαίου</v>
      </c>
    </row>
    <row r="65" spans="1:6" ht="38.25" customHeight="1" x14ac:dyDescent="0.3">
      <c r="A65" s="25" t="str">
        <f ca="1">IFERROR(__xludf.DUMMYFUNCTION("""COMPUTED_VALUE"""),"Law and values in the European Union / Stephen Weatherill.")</f>
        <v>Law and values in the European Union / Stephen Weatherill.</v>
      </c>
      <c r="B65" s="26" t="str">
        <f ca="1">IFERROR(__xludf.DUMMYFUNCTION("""COMPUTED_VALUE"""),"Weatherill, Stephen.")</f>
        <v>Weatherill, Stephen.</v>
      </c>
      <c r="C65" s="26" t="str">
        <f ca="1">IFERROR(__xludf.DUMMYFUNCTION("""COMPUTED_VALUE"""),"")</f>
        <v/>
      </c>
      <c r="D65" s="27" t="str">
        <f ca="1">IFERROR(__xludf.DUMMYFUNCTION("""COMPUTED_VALUE"""),"Oxford : Oxford University Press,  2016.")</f>
        <v>Oxford : Oxford University Press,  2016.</v>
      </c>
      <c r="E65" s="26" t="str">
        <f ca="1">IFERROR(__xludf.DUMMYFUNCTION("""COMPUTED_VALUE"""),"34(4-672EU) WeaS l 2016")</f>
        <v>34(4-672EU) WeaS l 2016</v>
      </c>
      <c r="F65" s="28" t="str">
        <f ca="1">IFERROR(__xludf.DUMMYFUNCTION("""COMPUTED_VALUE"""),"Αίθουσα Διεθνούς δικαίου και Εμπορικού δικαίου")</f>
        <v>Αίθουσα Διεθνούς δικαίου και Εμπορικού δικαίου</v>
      </c>
    </row>
    <row r="66" spans="1:6" ht="38.25" customHeight="1" x14ac:dyDescent="0.3">
      <c r="A66" s="25" t="str">
        <f ca="1">IFERROR(__xludf.DUMMYFUNCTION("""COMPUTED_VALUE"""),"Le métier de citoyen dans la Rome républicaine / Claude Nicolet.")</f>
        <v>Le métier de citoyen dans la Rome républicaine / Claude Nicolet.</v>
      </c>
      <c r="B66" s="26" t="str">
        <f ca="1">IFERROR(__xludf.DUMMYFUNCTION("""COMPUTED_VALUE"""),"Nicolet, Claude, 1930-")</f>
        <v>Nicolet, Claude, 1930-</v>
      </c>
      <c r="C66" s="26" t="str">
        <f ca="1">IFERROR(__xludf.DUMMYFUNCTION("""COMPUTED_VALUE"""),"")</f>
        <v/>
      </c>
      <c r="D66" s="27" t="str">
        <f ca="1">IFERROR(__xludf.DUMMYFUNCTION("""COMPUTED_VALUE"""),"[Paris] : Gallimard, 1976.")</f>
        <v>[Paris] : Gallimard, 1976.</v>
      </c>
      <c r="E66" s="26" t="str">
        <f ca="1">IFERROR(__xludf.DUMMYFUNCTION("""COMPUTED_VALUE"""),"342.71(37) NicC m 1976")</f>
        <v>342.71(37) NicC m 1976</v>
      </c>
      <c r="F66" s="28" t="str">
        <f ca="1">IFERROR(__xludf.DUMMYFUNCTION("""COMPUTED_VALUE"""),"Αίθουσα Ιστρορίας, Θεωρίας και Φιλοσοφίας του Δικαίου")</f>
        <v>Αίθουσα Ιστρορίας, Θεωρίας και Φιλοσοφίας του Δικαίου</v>
      </c>
    </row>
    <row r="67" spans="1:6" ht="38.25" customHeight="1" x14ac:dyDescent="0.3">
      <c r="A67" s="25" t="str">
        <f ca="1">IFERROR(__xludf.DUMMYFUNCTION("""COMPUTED_VALUE"""),"Le Probleme des Argonautes : recherches sur les aspects religieux de la legende / R. Roux.")</f>
        <v>Le Probleme des Argonautes : recherches sur les aspects religieux de la legende / R. Roux.</v>
      </c>
      <c r="B67" s="26" t="str">
        <f ca="1">IFERROR(__xludf.DUMMYFUNCTION("""COMPUTED_VALUE"""),"Roux, René, 1889-")</f>
        <v>Roux, René, 1889-</v>
      </c>
      <c r="C67" s="26" t="str">
        <f ca="1">IFERROR(__xludf.DUMMYFUNCTION("""COMPUTED_VALUE"""),"")</f>
        <v/>
      </c>
      <c r="D67" s="27" t="str">
        <f ca="1">IFERROR(__xludf.DUMMYFUNCTION("""COMPUTED_VALUE"""),"Paris : E. de Boccard, 1949.")</f>
        <v>Paris : E. de Boccard, 1949.</v>
      </c>
      <c r="E67" s="26" t="str">
        <f ca="1">IFERROR(__xludf.DUMMYFUNCTION("""COMPUTED_VALUE"""),"2-264(38) RouR p 1949")</f>
        <v>2-264(38) RouR p 1949</v>
      </c>
      <c r="F67" s="28" t="str">
        <f ca="1">IFERROR(__xludf.DUMMYFUNCTION("""COMPUTED_VALUE"""),"Αίθουσα ιστορίας, Θεωρίας και Φιλοσοφίας του Δικαίου")</f>
        <v>Αίθουσα ιστορίας, Θεωρίας και Φιλοσοφίας του Δικαίου</v>
      </c>
    </row>
    <row r="68" spans="1:6" ht="38.25" customHeight="1" x14ac:dyDescent="0.3">
      <c r="A68" s="25" t="str">
        <f ca="1">IFERROR(__xludf.DUMMYFUNCTION("""COMPUTED_VALUE"""),"Le traité de paix : contribution à l'étude juridique du règlement conventionnel des différends internationaux / Romain Le Boeuf   préface de Mathias Forteau.")</f>
        <v>Le traité de paix : contribution à l'étude juridique du règlement conventionnel des différends internationaux / Romain Le Boeuf   préface de Mathias Forteau.</v>
      </c>
      <c r="B68" s="26" t="str">
        <f ca="1">IFERROR(__xludf.DUMMYFUNCTION("""COMPUTED_VALUE"""),"Le Boeuf, Romain.")</f>
        <v>Le Boeuf, Romain.</v>
      </c>
      <c r="C68" s="26" t="str">
        <f ca="1">IFERROR(__xludf.DUMMYFUNCTION("""COMPUTED_VALUE"""),"")</f>
        <v/>
      </c>
      <c r="D68" s="27" t="str">
        <f ca="1">IFERROR(__xludf.DUMMYFUNCTION("""COMPUTED_VALUE"""),"Paris : Éditions Pedone, 2018.")</f>
        <v>Paris : Éditions Pedone, 2018.</v>
      </c>
      <c r="E68" s="26" t="str">
        <f ca="1">IFERROR(__xludf.DUMMYFUNCTION("""COMPUTED_VALUE"""),"341.382 LeBR t 2018")</f>
        <v>341.382 LeBR t 2018</v>
      </c>
      <c r="F68" s="28" t="str">
        <f ca="1">IFERROR(__xludf.DUMMYFUNCTION("""COMPUTED_VALUE"""),"Αίθουσα Διεθνούς Δικαίου και Εμπορικού Δικαίου")</f>
        <v>Αίθουσα Διεθνούς Δικαίου και Εμπορικού Δικαίου</v>
      </c>
    </row>
    <row r="69" spans="1:6" ht="38.25" customHeight="1" x14ac:dyDescent="0.3">
      <c r="A69" s="25" t="str">
        <f ca="1">IFERROR(__xludf.DUMMYFUNCTION("""COMPUTED_VALUE"""),"Legitimacy issues of the European Union in the face of crisis : Dimitris Tsatsos in memoriam / Lina Papadopoulou, Ingolf Pernice, Joseph H.H. Weiler (eds.).")</f>
        <v>Legitimacy issues of the European Union in the face of crisis : Dimitris Tsatsos in memoriam / Lina Papadopoulou, Ingolf Pernice, Joseph H.H. Weiler (eds.).</v>
      </c>
      <c r="B69" s="26" t="str">
        <f ca="1">IFERROR(__xludf.DUMMYFUNCTION("""COMPUTED_VALUE"""),"")</f>
        <v/>
      </c>
      <c r="C69" s="26" t="str">
        <f ca="1">IFERROR(__xludf.DUMMYFUNCTION("""COMPUTED_VALUE"""),"")</f>
        <v/>
      </c>
      <c r="D69" s="27" t="str">
        <f ca="1">IFERROR(__xludf.DUMMYFUNCTION("""COMPUTED_VALUE"""),"Baden-Baden : Nomos, 2017.")</f>
        <v>Baden-Baden : Nomos, 2017.</v>
      </c>
      <c r="E69" s="26" t="str">
        <f ca="1">IFERROR(__xludf.DUMMYFUNCTION("""COMPUTED_VALUE"""),"34(082.2) ΤσαΔ l 2017")</f>
        <v>34(082.2) ΤσαΔ l 2017</v>
      </c>
      <c r="F69" s="28" t="str">
        <f ca="1">IFERROR(__xludf.DUMMYFUNCTION("""COMPUTED_VALUE"""),"Αίθουσα τιμητικών τόμων, 1ος όροφ.")</f>
        <v>Αίθουσα τιμητικών τόμων, 1ος όροφ.</v>
      </c>
    </row>
    <row r="70" spans="1:6" ht="38.25" customHeight="1" x14ac:dyDescent="0.3">
      <c r="A70" s="25" t="str">
        <f ca="1">IFERROR(__xludf.DUMMYFUNCTION("""COMPUTED_VALUE"""),"L'empire romain au IIIe siècle : de la mort de Commode au Concile de Nicée / Maria Bats, Stéphane Benoist, Sabine Lefebvre.")</f>
        <v>L'empire romain au IIIe siècle : de la mort de Commode au Concile de Nicée / Maria Bats, Stéphane Benoist, Sabine Lefebvre.</v>
      </c>
      <c r="B70" s="26" t="str">
        <f ca="1">IFERROR(__xludf.DUMMYFUNCTION("""COMPUTED_VALUE"""),"Bats, Maria.")</f>
        <v>Bats, Maria.</v>
      </c>
      <c r="C70" s="26" t="str">
        <f ca="1">IFERROR(__xludf.DUMMYFUNCTION("""COMPUTED_VALUE"""),"")</f>
        <v/>
      </c>
      <c r="D70" s="27" t="str">
        <f ca="1">IFERROR(__xludf.DUMMYFUNCTION("""COMPUTED_VALUE"""),"[Neuilly-sur-Seine] : Atlande, 1997.")</f>
        <v>[Neuilly-sur-Seine] : Atlande, 1997.</v>
      </c>
      <c r="E70" s="26" t="str">
        <f ca="1">IFERROR(__xludf.DUMMYFUNCTION("""COMPUTED_VALUE"""),"94(37)«2» BatM e 1997")</f>
        <v>94(37)«2» BatM e 1997</v>
      </c>
      <c r="F70" s="28" t="str">
        <f ca="1">IFERROR(__xludf.DUMMYFUNCTION("""COMPUTED_VALUE"""),"Αίθουσα ιστορίας, Θεωρίας και Φιλοσοφίας του Δικαίου")</f>
        <v>Αίθουσα ιστορίας, Θεωρίας και Φιλοσοφίας του Δικαίου</v>
      </c>
    </row>
    <row r="71" spans="1:6" ht="38.25" customHeight="1" x14ac:dyDescent="0.3">
      <c r="A71" s="25" t="str">
        <f ca="1">IFERROR(__xludf.DUMMYFUNCTION("""COMPUTED_VALUE"""),"Les confiscations, le pouvoir et Rome, de la fin de la République à la mort de Néron / textes réunis et édités par Clément Chillet ... [et al.]")</f>
        <v>Les confiscations, le pouvoir et Rome, de la fin de la République à la mort de Néron / textes réunis et édités par Clément Chillet ... [et al.]</v>
      </c>
      <c r="B71" s="26" t="str">
        <f ca="1">IFERROR(__xludf.DUMMYFUNCTION("""COMPUTED_VALUE"""),"")</f>
        <v/>
      </c>
      <c r="C71" s="26" t="str">
        <f ca="1">IFERROR(__xludf.DUMMYFUNCTION("""COMPUTED_VALUE"""),"")</f>
        <v/>
      </c>
      <c r="D71" s="27" t="str">
        <f ca="1">IFERROR(__xludf.DUMMYFUNCTION("""COMPUTED_VALUE"""),"Pessac : Ausonius, 2016.")</f>
        <v>Pessac : Ausonius, 2016.</v>
      </c>
      <c r="E71" s="26" t="str">
        <f ca="1">IFERROR(__xludf.DUMMYFUNCTION("""COMPUTED_VALUE"""),"351.712.5(37)(063) CPR 2016")</f>
        <v>351.712.5(37)(063) CPR 2016</v>
      </c>
      <c r="F71" s="28" t="str">
        <f ca="1">IFERROR(__xludf.DUMMYFUNCTION("""COMPUTED_VALUE"""),"Αίθουσα Ιστορίας, Θεωρίας και Φιλοσοφίας του Δικαίου")</f>
        <v>Αίθουσα Ιστορίας, Θεωρίας και Φιλοσοφίας του Δικαίου</v>
      </c>
    </row>
    <row r="72" spans="1:6" ht="38.25" customHeight="1" x14ac:dyDescent="0.3">
      <c r="A72" s="25" t="str">
        <f ca="1">IFERROR(__xludf.DUMMYFUNCTION("""COMPUTED_VALUE"""),"Les poèmes homériques et lʹhistoire grecque / Émile Mireaux.")</f>
        <v>Les poèmes homériques et lʹhistoire grecque / Émile Mireaux.</v>
      </c>
      <c r="B72" s="26" t="str">
        <f ca="1">IFERROR(__xludf.DUMMYFUNCTION("""COMPUTED_VALUE"""),"Mireaux, Émile, 1885-1969.")</f>
        <v>Mireaux, Émile, 1885-1969.</v>
      </c>
      <c r="C72" s="26" t="str">
        <f ca="1">IFERROR(__xludf.DUMMYFUNCTION("""COMPUTED_VALUE"""),"")</f>
        <v/>
      </c>
      <c r="D72" s="27" t="str">
        <f ca="1">IFERROR(__xludf.DUMMYFUNCTION("""COMPUTED_VALUE"""),"Paris : Albin Michel, 1948-1949")</f>
        <v>Paris : Albin Michel, 1948-1949</v>
      </c>
      <c r="E72" s="26" t="str">
        <f ca="1">IFERROR(__xludf.DUMMYFUNCTION("""COMPUTED_VALUE"""),"82-13 Όμηρ MirE p 1949 2")</f>
        <v>82-13 Όμηρ MirE p 1949 2</v>
      </c>
      <c r="F72" s="28" t="str">
        <f ca="1">IFERROR(__xludf.DUMMYFUNCTION("""COMPUTED_VALUE"""),"Αίθουσα Ιστορίας, Θεωρίας και Φιλοσοφίας του Δικαίου")</f>
        <v>Αίθουσα Ιστορίας, Θεωρίας και Φιλοσοφίας του Δικαίου</v>
      </c>
    </row>
    <row r="73" spans="1:6" ht="38.25" customHeight="1" x14ac:dyDescent="0.3">
      <c r="A73" s="25" t="str">
        <f ca="1">IFERROR(__xludf.DUMMYFUNCTION("""COMPUTED_VALUE"""),"L'esclavage dans le monde grec : recueil de textes grecs et latins / Yvon Garlan.")</f>
        <v>L'esclavage dans le monde grec : recueil de textes grecs et latins / Yvon Garlan.</v>
      </c>
      <c r="B73" s="26" t="str">
        <f ca="1">IFERROR(__xludf.DUMMYFUNCTION("""COMPUTED_VALUE"""),"Garlan, Yvon.")</f>
        <v>Garlan, Yvon.</v>
      </c>
      <c r="C73" s="26" t="str">
        <f ca="1">IFERROR(__xludf.DUMMYFUNCTION("""COMPUTED_VALUE"""),"")</f>
        <v/>
      </c>
      <c r="D73" s="27" t="str">
        <f ca="1">IFERROR(__xludf.DUMMYFUNCTION("""COMPUTED_VALUE"""),"Paris : Les Belles Lettres,  1984.")</f>
        <v>Paris : Les Belles Lettres,  1984.</v>
      </c>
      <c r="E73" s="26" t="str">
        <f ca="1">IFERROR(__xludf.DUMMYFUNCTION("""COMPUTED_VALUE"""),"326(38) GarY e 1984")</f>
        <v>326(38) GarY e 1984</v>
      </c>
      <c r="F73" s="28" t="str">
        <f ca="1">IFERROR(__xludf.DUMMYFUNCTION("""COMPUTED_VALUE"""),"Αίθουσα Ιστορίας, Θεωρίας και Φιλοσοφίας του Δικαίου")</f>
        <v>Αίθουσα Ιστορίας, Θεωρίας και Φιλοσοφίας του Δικαίου</v>
      </c>
    </row>
    <row r="74" spans="1:6" ht="38.25" customHeight="1" x14ac:dyDescent="0.3">
      <c r="A74" s="25" t="str">
        <f ca="1">IFERROR(__xludf.DUMMYFUNCTION("""COMPUTED_VALUE"""),"L'hégémonie de la notion de sanction dans le droit répressif de l'Union européenne / Sotirios Lytras.")</f>
        <v>L'hégémonie de la notion de sanction dans le droit répressif de l'Union européenne / Sotirios Lytras.</v>
      </c>
      <c r="B74" s="26" t="str">
        <f ca="1">IFERROR(__xludf.DUMMYFUNCTION("""COMPUTED_VALUE"""),"Λύτρας, Σωτήρης Αρ., 1941-")</f>
        <v>Λύτρας, Σωτήρης Αρ., 1941-</v>
      </c>
      <c r="C74" s="26" t="str">
        <f ca="1">IFERROR(__xludf.DUMMYFUNCTION("""COMPUTED_VALUE"""),"")</f>
        <v/>
      </c>
      <c r="D74" s="27" t="str">
        <f ca="1">IFERROR(__xludf.DUMMYFUNCTION("""COMPUTED_VALUE"""),"[Paris] : Mare &amp; Martin, 2018.")</f>
        <v>[Paris] : Mare &amp; Martin, 2018.</v>
      </c>
      <c r="E74" s="26" t="str">
        <f ca="1">IFERROR(__xludf.DUMMYFUNCTION("""COMPUTED_VALUE"""),"342.924(4-675EU)(04) ΛυτΣ h 2018")</f>
        <v>342.924(4-675EU)(04) ΛυτΣ h 2018</v>
      </c>
      <c r="F74" s="28" t="str">
        <f ca="1">IFERROR(__xludf.DUMMYFUNCTION("""COMPUTED_VALUE"""),"Αίθουσα Δημοσίου Δικαίου")</f>
        <v>Αίθουσα Δημοσίου Δικαίου</v>
      </c>
    </row>
    <row r="75" spans="1:6" ht="38.25" customHeight="1" x14ac:dyDescent="0.3">
      <c r="A75" s="25" t="str">
        <f ca="1">IFERROR(__xludf.DUMMYFUNCTION("""COMPUTED_VALUE"""),"L'image de l'antiquité chez les auteurs postérieurs / sous la rédaction de Ignacy Lewandowski et Leszek Mrozewicz.")</f>
        <v>L'image de l'antiquité chez les auteurs postérieurs / sous la rédaction de Ignacy Lewandowski et Leszek Mrozewicz.</v>
      </c>
      <c r="B75" s="26" t="str">
        <f ca="1">IFERROR(__xludf.DUMMYFUNCTION("""COMPUTED_VALUE"""),"")</f>
        <v/>
      </c>
      <c r="C75" s="26" t="str">
        <f ca="1">IFERROR(__xludf.DUMMYFUNCTION("""COMPUTED_VALUE"""),"")</f>
        <v/>
      </c>
      <c r="D75" s="27" t="str">
        <f ca="1">IFERROR(__xludf.DUMMYFUNCTION("""COMPUTED_VALUE"""),"Poznań : Edition VIS, 1996.")</f>
        <v>Poznań : Edition VIS, 1996.</v>
      </c>
      <c r="E75" s="26" t="str">
        <f ca="1">IFERROR(__xludf.DUMMYFUNCTION("""COMPUTED_VALUE"""),"930.2(063) IAC1995 1996")</f>
        <v>930.2(063) IAC1995 1996</v>
      </c>
      <c r="F75" s="28" t="str">
        <f ca="1">IFERROR(__xludf.DUMMYFUNCTION("""COMPUTED_VALUE"""),"Αίθουσα Ιστορίας, Θεωρίας και Φιλοσοφίας του Δικαίου")</f>
        <v>Αίθουσα Ιστορίας, Θεωρίας και Φιλοσοφίας του Δικαίου</v>
      </c>
    </row>
    <row r="76" spans="1:6" ht="38.25" customHeight="1" x14ac:dyDescent="0.3">
      <c r="A76" s="25" t="str">
        <f ca="1">IFERROR(__xludf.DUMMYFUNCTION("""COMPUTED_VALUE"""),"Manipolazione della storia in età ellenistica : i Seleucidi e Roma / Attilio Mastrocinque.")</f>
        <v>Manipolazione della storia in età ellenistica : i Seleucidi e Roma / Attilio Mastrocinque.</v>
      </c>
      <c r="B76" s="26" t="str">
        <f ca="1">IFERROR(__xludf.DUMMYFUNCTION("""COMPUTED_VALUE"""),"Mastrocinque, Attilio.")</f>
        <v>Mastrocinque, Attilio.</v>
      </c>
      <c r="C76" s="26" t="str">
        <f ca="1">IFERROR(__xludf.DUMMYFUNCTION("""COMPUTED_VALUE"""),"")</f>
        <v/>
      </c>
      <c r="D76" s="27" t="str">
        <f ca="1">IFERROR(__xludf.DUMMYFUNCTION("""COMPUTED_VALUE"""),"Roma :   L'Erma  di Bretschneider, 1983.")</f>
        <v>Roma :   L'Erma  di Bretschneider, 1983.</v>
      </c>
      <c r="E76" s="26" t="str">
        <f ca="1">IFERROR(__xludf.DUMMYFUNCTION("""COMPUTED_VALUE"""),"94(35) MasA m 1983")</f>
        <v>94(35) MasA m 1983</v>
      </c>
      <c r="F76" s="28" t="str">
        <f ca="1">IFERROR(__xludf.DUMMYFUNCTION("""COMPUTED_VALUE"""),"Αίθουσα ιστορίας, Θεωρίας και Φιλοσοφίας του Δικαίου")</f>
        <v>Αίθουσα ιστορίας, Θεωρίας και Φιλοσοφίας του Δικαίου</v>
      </c>
    </row>
    <row r="77" spans="1:6" ht="38.25" customHeight="1" x14ac:dyDescent="0.3">
      <c r="A77" s="25" t="str">
        <f ca="1">IFERROR(__xludf.DUMMYFUNCTION("""COMPUTED_VALUE"""),"Marine cargo claims / William Tetley.")</f>
        <v>Marine cargo claims / William Tetley.</v>
      </c>
      <c r="B77" s="26" t="str">
        <f ca="1">IFERROR(__xludf.DUMMYFUNCTION("""COMPUTED_VALUE"""),"Tetley, William, 1927-")</f>
        <v>Tetley, William, 1927-</v>
      </c>
      <c r="C77" s="26" t="str">
        <f ca="1">IFERROR(__xludf.DUMMYFUNCTION("""COMPUTED_VALUE"""),"2nd ed.")</f>
        <v>2nd ed.</v>
      </c>
      <c r="D77" s="27" t="str">
        <f ca="1">IFERROR(__xludf.DUMMYFUNCTION("""COMPUTED_VALUE"""),"Toronto : Butterworths  London : Stevens, 1965.")</f>
        <v>Toronto : Butterworths  London : Stevens, 1965.</v>
      </c>
      <c r="E77" s="26" t="str">
        <f ca="1">IFERROR(__xludf.DUMMYFUNCTION("""COMPUTED_VALUE"""),"347.795.3 TetW m 1978")</f>
        <v>347.795.3 TetW m 1978</v>
      </c>
      <c r="F77" s="28" t="str">
        <f ca="1">IFERROR(__xludf.DUMMYFUNCTION("""COMPUTED_VALUE"""),"Αίθουσα Διεθνούς Δικαίου και Εμπορικού Δικαίου")</f>
        <v>Αίθουσα Διεθνούς Δικαίου και Εμπορικού Δικαίου</v>
      </c>
    </row>
    <row r="78" spans="1:6" ht="38.25" customHeight="1" x14ac:dyDescent="0.3">
      <c r="A78" s="25" t="str">
        <f ca="1">IFERROR(__xludf.DUMMYFUNCTION("""COMPUTED_VALUE"""),"Maritime liabilities in a global and regional context / edited by Baris Soyer and Andrew Tettenborn.")</f>
        <v>Maritime liabilities in a global and regional context / edited by Baris Soyer and Andrew Tettenborn.</v>
      </c>
      <c r="B78" s="26" t="str">
        <f ca="1">IFERROR(__xludf.DUMMYFUNCTION("""COMPUTED_VALUE"""),"Swansea University. Institute of International Shipping and Trade Law. Annual Colloquium (13th : 2017 Swansea Law School)")</f>
        <v>Swansea University. Institute of International Shipping and Trade Law. Annual Colloquium (13th : 2017 Swansea Law School)</v>
      </c>
      <c r="C78" s="26" t="str">
        <f ca="1">IFERROR(__xludf.DUMMYFUNCTION("""COMPUTED_VALUE"""),"")</f>
        <v/>
      </c>
      <c r="D78" s="27" t="str">
        <f ca="1">IFERROR(__xludf.DUMMYFUNCTION("""COMPUTED_VALUE"""),"Abingdon, Oxon   New York, NY : Routledge, 2019.")</f>
        <v>Abingdon, Oxon   New York, NY : Routledge, 2019.</v>
      </c>
      <c r="E78" s="26" t="str">
        <f ca="1">IFERROR(__xludf.DUMMYFUNCTION("""COMPUTED_VALUE"""),"347.799.2(063) SUIIS2017 m 2019")</f>
        <v>347.799.2(063) SUIIS2017 m 2019</v>
      </c>
      <c r="F78" s="28" t="str">
        <f ca="1">IFERROR(__xludf.DUMMYFUNCTION("""COMPUTED_VALUE"""),"Αίθουσα Διεθνούς Δικαίου και Εμπορικού Δικαίου")</f>
        <v>Αίθουσα Διεθνούς Δικαίου και Εμπορικού Δικαίου</v>
      </c>
    </row>
    <row r="79" spans="1:6" ht="38.25" customHeight="1" x14ac:dyDescent="0.3">
      <c r="A79" s="25" t="str">
        <f ca="1">IFERROR(__xludf.DUMMYFUNCTION("""COMPUTED_VALUE"""),"Maritime pollution liability and policy : China, Europe, and the US / edited by Michael G. Faure, Han Lixin, &amp; Shan Hongjun.")</f>
        <v>Maritime pollution liability and policy : China, Europe, and the US / edited by Michael G. Faure, Han Lixin, &amp; Shan Hongjun.</v>
      </c>
      <c r="B79" s="26" t="str">
        <f ca="1">IFERROR(__xludf.DUMMYFUNCTION("""COMPUTED_VALUE"""),"")</f>
        <v/>
      </c>
      <c r="C79" s="26" t="str">
        <f ca="1">IFERROR(__xludf.DUMMYFUNCTION("""COMPUTED_VALUE"""),"")</f>
        <v/>
      </c>
      <c r="D79" s="27" t="str">
        <f ca="1">IFERROR(__xludf.DUMMYFUNCTION("""COMPUTED_VALUE"""),"Alphen aan den Rijn : Kluwer Law International   Frederick, MD : Aspen Publishers [distributor], c2010.")</f>
        <v>Alphen aan den Rijn : Kluwer Law International   Frederick, MD : Aspen Publishers [distributor], c2010.</v>
      </c>
      <c r="E79" s="26" t="str">
        <f ca="1">IFERROR(__xludf.DUMMYFUNCTION("""COMPUTED_VALUE"""),"347.799.2 FauM m 2010")</f>
        <v>347.799.2 FauM m 2010</v>
      </c>
      <c r="F79" s="28" t="str">
        <f ca="1">IFERROR(__xludf.DUMMYFUNCTION("""COMPUTED_VALUE"""),"Αίθουσα Διεθνούς Δικαίου και Εμπορικού Δικαίου")</f>
        <v>Αίθουσα Διεθνούς Δικαίου και Εμπορικού Δικαίου</v>
      </c>
    </row>
    <row r="80" spans="1:6" ht="38.25" customHeight="1" x14ac:dyDescent="0.3">
      <c r="A80" s="25" t="str">
        <f ca="1">IFERROR(__xludf.DUMMYFUNCTION("""COMPUTED_VALUE"""),"Markesinis and Deakin's tort law / by Simon Deakin, Angus Johnston, and Basil Markesinis.")</f>
        <v>Markesinis and Deakin's tort law / by Simon Deakin, Angus Johnston, and Basil Markesinis.</v>
      </c>
      <c r="B80" s="26" t="str">
        <f ca="1">IFERROR(__xludf.DUMMYFUNCTION("""COMPUTED_VALUE"""),"Μαρκεζίνης, Βασίλειος,  1944-.")</f>
        <v>Μαρκεζίνης, Βασίλειος,  1944-.</v>
      </c>
      <c r="C80" s="26" t="str">
        <f ca="1">IFERROR(__xludf.DUMMYFUNCTION("""COMPUTED_VALUE"""),"7τth ed.")</f>
        <v>7τth ed.</v>
      </c>
      <c r="D80" s="27" t="str">
        <f ca="1">IFERROR(__xludf.DUMMYFUNCTION("""COMPUTED_VALUE"""),"Oxford  : Clarendon Press   2013.")</f>
        <v>Oxford  : Clarendon Press   2013.</v>
      </c>
      <c r="E80" s="26" t="str">
        <f ca="1">IFERROR(__xludf.DUMMYFUNCTION("""COMPUTED_VALUE"""),"347.5(410) ΜαρΒ m 2013")</f>
        <v>347.5(410) ΜαρΒ m 2013</v>
      </c>
      <c r="F80" s="28" t="str">
        <f ca="1">IFERROR(__xludf.DUMMYFUNCTION("""COMPUTED_VALUE"""),"Αίθουσα Διεθνους Δικαίου και Εμπορικού Δικαίου")</f>
        <v>Αίθουσα Διεθνους Δικαίου και Εμπορικού Δικαίου</v>
      </c>
    </row>
    <row r="81" spans="1:6" ht="38.25" customHeight="1" x14ac:dyDescent="0.3">
      <c r="A81" s="25" t="str">
        <f ca="1">IFERROR(__xludf.DUMMYFUNCTION("""COMPUTED_VALUE"""),"Marx and Foucault / Antonio Negri   translated by Ed Emery.")</f>
        <v>Marx and Foucault / Antonio Negri   translated by Ed Emery.</v>
      </c>
      <c r="B81" s="26" t="str">
        <f ca="1">IFERROR(__xludf.DUMMYFUNCTION("""COMPUTED_VALUE"""),"Negri, Antonio, 1933-")</f>
        <v>Negri, Antonio, 1933-</v>
      </c>
      <c r="C81" s="26" t="str">
        <f ca="1">IFERROR(__xludf.DUMMYFUNCTION("""COMPUTED_VALUE"""),"")</f>
        <v/>
      </c>
      <c r="D81" s="27" t="str">
        <f ca="1">IFERROR(__xludf.DUMMYFUNCTION("""COMPUTED_VALUE"""),"Cambridge, UK   Malden, MA : Polity Press, 2017.")</f>
        <v>Cambridge, UK   Malden, MA : Polity Press, 2017.</v>
      </c>
      <c r="E81" s="26" t="str">
        <f ca="1">IFERROR(__xludf.DUMMYFUNCTION("""COMPUTED_VALUE"""),"32.01 NegA m 2017")</f>
        <v>32.01 NegA m 2017</v>
      </c>
      <c r="F81" s="28" t="str">
        <f ca="1">IFERROR(__xludf.DUMMYFUNCTION("""COMPUTED_VALUE"""),"Αίθουσα Ιστορίας, Θεωρίας και Φιλοσοφίας του Δικαίου")</f>
        <v>Αίθουσα Ιστορίας, Θεωρίας και Φιλοσοφίας του Δικαίου</v>
      </c>
    </row>
    <row r="82" spans="1:6" ht="38.25" customHeight="1" x14ac:dyDescent="0.3">
      <c r="A82" s="25" t="str">
        <f ca="1">IFERROR(__xludf.DUMMYFUNCTION("""COMPUTED_VALUE"""),"Ordoliberalism, law and the rule of economics / edited by Josef Hien, Christian Joerges.")</f>
        <v>Ordoliberalism, law and the rule of economics / edited by Josef Hien, Christian Joerges.</v>
      </c>
      <c r="B82" s="26" t="str">
        <f ca="1">IFERROR(__xludf.DUMMYFUNCTION("""COMPUTED_VALUE"""),"")</f>
        <v/>
      </c>
      <c r="C82" s="26" t="str">
        <f ca="1">IFERROR(__xludf.DUMMYFUNCTION("""COMPUTED_VALUE"""),"")</f>
        <v/>
      </c>
      <c r="D82" s="27" t="str">
        <f ca="1">IFERROR(__xludf.DUMMYFUNCTION("""COMPUTED_VALUE"""),"Oxford   Portland, Oregon : Hart Publishing, 2017.")</f>
        <v>Oxford   Portland, Oregon : Hart Publishing, 2017.</v>
      </c>
      <c r="E82" s="26" t="str">
        <f ca="1">IFERROR(__xludf.DUMMYFUNCTION("""COMPUTED_VALUE"""),"34:33(063) OLR2016 2017")</f>
        <v>34:33(063) OLR2016 2017</v>
      </c>
      <c r="F82" s="28" t="str">
        <f ca="1">IFERROR(__xludf.DUMMYFUNCTION("""COMPUTED_VALUE"""),"Αίθουσα Δημοσίου Δικαίου")</f>
        <v>Αίθουσα Δημοσίου Δικαίου</v>
      </c>
    </row>
    <row r="83" spans="1:6" ht="38.25" customHeight="1" x14ac:dyDescent="0.3">
      <c r="A83" s="25" t="str">
        <f ca="1">IFERROR(__xludf.DUMMYFUNCTION("""COMPUTED_VALUE"""),"Origins of western literacy. Γαλλικά;""Aux origines de la civilisation écrite en Occident / Eric A. Havelock   traduit de l'anglais par E. Escobar Moreno.""")</f>
        <v>Origins of western literacy. Γαλλικά;"Aux origines de la civilisation écrite en Occident / Eric A. Havelock   traduit de l'anglais par E. Escobar Moreno."</v>
      </c>
      <c r="B83" s="26" t="str">
        <f ca="1">IFERROR(__xludf.DUMMYFUNCTION("""COMPUTED_VALUE"""),"Havelock, Eric A. (Eric Alfred), 1903-1988.")</f>
        <v>Havelock, Eric A. (Eric Alfred), 1903-1988.</v>
      </c>
      <c r="C83" s="26" t="str">
        <f ca="1">IFERROR(__xludf.DUMMYFUNCTION("""COMPUTED_VALUE"""),"")</f>
        <v/>
      </c>
      <c r="D83" s="27" t="str">
        <f ca="1">IFERROR(__xludf.DUMMYFUNCTION("""COMPUTED_VALUE"""),"Paris : Francois Maspero, 1981.")</f>
        <v>Paris : Francois Maspero, 1981.</v>
      </c>
      <c r="E83" s="26" t="str">
        <f ca="1">IFERROR(__xludf.DUMMYFUNCTION("""COMPUTED_VALUE"""),"003.2(091) HavE o/a 1981")</f>
        <v>003.2(091) HavE o/a 1981</v>
      </c>
      <c r="F83" s="28" t="str">
        <f ca="1">IFERROR(__xludf.DUMMYFUNCTION("""COMPUTED_VALUE"""),"Αίθουσα ιστορίας, Θεωρίας και Φιλοσοφίας του Δικαίου")</f>
        <v>Αίθουσα ιστορίας, Θεωρίας και Φιλοσοφίας του Δικαίου</v>
      </c>
    </row>
    <row r="84" spans="1:6" ht="38.25" customHeight="1" x14ac:dyDescent="0.3">
      <c r="A84" s="25" t="str">
        <f ca="1">IFERROR(__xludf.DUMMYFUNCTION("""COMPUTED_VALUE"""),"Parliamentary sovereignty : contemporary debates / Jeffrey Goldsworthy.")</f>
        <v>Parliamentary sovereignty : contemporary debates / Jeffrey Goldsworthy.</v>
      </c>
      <c r="B84" s="26" t="str">
        <f ca="1">IFERROR(__xludf.DUMMYFUNCTION("""COMPUTED_VALUE"""),"Goldsworthy, Jeffrey Denys.")</f>
        <v>Goldsworthy, Jeffrey Denys.</v>
      </c>
      <c r="C84" s="26" t="str">
        <f ca="1">IFERROR(__xludf.DUMMYFUNCTION("""COMPUTED_VALUE"""),"")</f>
        <v/>
      </c>
      <c r="D84" s="27" t="str">
        <f ca="1">IFERROR(__xludf.DUMMYFUNCTION("""COMPUTED_VALUE"""),"Cambridge   New York : Cambridge University Press, 2010.")</f>
        <v>Cambridge   New York : Cambridge University Press, 2010.</v>
      </c>
      <c r="E84" s="26" t="str">
        <f ca="1">IFERROR(__xludf.DUMMYFUNCTION("""COMPUTED_VALUE"""),"342.52 GolJ p 2010")</f>
        <v>342.52 GolJ p 2010</v>
      </c>
      <c r="F84" s="28" t="str">
        <f ca="1">IFERROR(__xludf.DUMMYFUNCTION("""COMPUTED_VALUE"""),"Αίθουσα Δημοσίου Δικαίου")</f>
        <v>Αίθουσα Δημοσίου Δικαίου</v>
      </c>
    </row>
    <row r="85" spans="1:6" ht="38.25" customHeight="1" x14ac:dyDescent="0.3">
      <c r="A85" s="25" t="str">
        <f ca="1">IFERROR(__xludf.DUMMYFUNCTION("""COMPUTED_VALUE"""),"Peremptory norms in international law / Alexander Orakhelashvili.")</f>
        <v>Peremptory norms in international law / Alexander Orakhelashvili.</v>
      </c>
      <c r="B85" s="26" t="str">
        <f ca="1">IFERROR(__xludf.DUMMYFUNCTION("""COMPUTED_VALUE"""),"Orakhelashvili, Alexander.")</f>
        <v>Orakhelashvili, Alexander.</v>
      </c>
      <c r="C85" s="26" t="str">
        <f ca="1">IFERROR(__xludf.DUMMYFUNCTION("""COMPUTED_VALUE"""),"")</f>
        <v/>
      </c>
      <c r="D85" s="27" t="str">
        <f ca="1">IFERROR(__xludf.DUMMYFUNCTION("""COMPUTED_VALUE"""),"Oxford : Oxford University Press, 2006")</f>
        <v>Oxford : Oxford University Press, 2006</v>
      </c>
      <c r="E85" s="26" t="str">
        <f ca="1">IFERROR(__xludf.DUMMYFUNCTION("""COMPUTED_VALUE"""),"341.01 OraA p 2006")</f>
        <v>341.01 OraA p 2006</v>
      </c>
      <c r="F85" s="28" t="str">
        <f ca="1">IFERROR(__xludf.DUMMYFUNCTION("""COMPUTED_VALUE"""),"Αίθουσα Διεθνούς Δικαίου και Εμπορικού Δικαίου")</f>
        <v>Αίθουσα Διεθνούς Δικαίου και Εμπορικού Δικαίου</v>
      </c>
    </row>
    <row r="86" spans="1:6" ht="38.25" customHeight="1" x14ac:dyDescent="0.3">
      <c r="A86" s="25" t="str">
        <f ca="1">IFERROR(__xludf.DUMMYFUNCTION("""COMPUTED_VALUE"""),"Principles of European constitutional law / edited by Armin von Bogdandy and Jürgen Bast.")</f>
        <v>Principles of European constitutional law / edited by Armin von Bogdandy and Jürgen Bast.</v>
      </c>
      <c r="B86" s="26" t="str">
        <f ca="1">IFERROR(__xludf.DUMMYFUNCTION("""COMPUTED_VALUE"""),"")</f>
        <v/>
      </c>
      <c r="C86" s="26" t="str">
        <f ca="1">IFERROR(__xludf.DUMMYFUNCTION("""COMPUTED_VALUE"""),"2nd rev. ed.")</f>
        <v>2nd rev. ed.</v>
      </c>
      <c r="D86" s="27" t="str">
        <f ca="1">IFERROR(__xludf.DUMMYFUNCTION("""COMPUTED_VALUE"""),"Oxford ; Portland, OR : Hart ; München, Germany : CH Beck, c2010, 2011 [ανατύπωση]")</f>
        <v>Oxford ; Portland, OR : Hart ; München, Germany : CH Beck, c2010, 2011 [ανατύπωση]</v>
      </c>
      <c r="E86" s="26" t="str">
        <f ca="1">IFERROR(__xludf.DUMMYFUNCTION("""COMPUTED_VALUE"""),"342(4-672EU) BogA p 2011")</f>
        <v>342(4-672EU) BogA p 2011</v>
      </c>
      <c r="F86" s="28" t="str">
        <f ca="1">IFERROR(__xludf.DUMMYFUNCTION("""COMPUTED_VALUE"""),"ανατύπωση 2011")</f>
        <v>ανατύπωση 2011</v>
      </c>
    </row>
    <row r="87" spans="1:6" ht="38.25" customHeight="1" x14ac:dyDescent="0.3">
      <c r="A87" s="25" t="str">
        <f ca="1">IFERROR(__xludf.DUMMYFUNCTION("""COMPUTED_VALUE"""),"Principles of law and economics / Antony W. Dnes.")</f>
        <v>Principles of law and economics / Antony W. Dnes.</v>
      </c>
      <c r="B87" s="26" t="str">
        <f ca="1">IFERROR(__xludf.DUMMYFUNCTION("""COMPUTED_VALUE"""),"Dnes, Antony W.")</f>
        <v>Dnes, Antony W.</v>
      </c>
      <c r="C87" s="26" t="str">
        <f ca="1">IFERROR(__xludf.DUMMYFUNCTION("""COMPUTED_VALUE"""),"3rd. ed.")</f>
        <v>3rd. ed.</v>
      </c>
      <c r="D87" s="27" t="str">
        <f ca="1">IFERROR(__xludf.DUMMYFUNCTION("""COMPUTED_VALUE"""),"Cheltenham, UK : Edward Elgar Pub., Inc., 2018.")</f>
        <v>Cheltenham, UK : Edward Elgar Pub., Inc., 2018.</v>
      </c>
      <c r="E87" s="26" t="str">
        <f ca="1">IFERROR(__xludf.DUMMYFUNCTION("""COMPUTED_VALUE"""),"34:33 DneA p 2018")</f>
        <v>34:33 DneA p 2018</v>
      </c>
      <c r="F87" s="28" t="str">
        <f ca="1">IFERROR(__xludf.DUMMYFUNCTION("""COMPUTED_VALUE"""),"Αίθουσα Δημοσίου Δικαίου")</f>
        <v>Αίθουσα Δημοσίου Δικαίου</v>
      </c>
    </row>
    <row r="88" spans="1:6" ht="38.25" customHeight="1" x14ac:dyDescent="0.3">
      <c r="A88" s="25" t="str">
        <f ca="1">IFERROR(__xludf.DUMMYFUNCTION("""COMPUTED_VALUE"""),"Private law in the external relations of the EU / edited by Marise Cremona, Hans-W. Micklitz.")</f>
        <v>Private law in the external relations of the EU / edited by Marise Cremona, Hans-W. Micklitz.</v>
      </c>
      <c r="B88" s="26" t="str">
        <f ca="1">IFERROR(__xludf.DUMMYFUNCTION("""COMPUTED_VALUE"""),"")</f>
        <v/>
      </c>
      <c r="C88" s="26" t="str">
        <f ca="1">IFERROR(__xludf.DUMMYFUNCTION("""COMPUTED_VALUE"""),"")</f>
        <v/>
      </c>
      <c r="D88" s="27" t="str">
        <f ca="1">IFERROR(__xludf.DUMMYFUNCTION("""COMPUTED_VALUE"""),"Oxford, UK : Oxford University Press, 2016.")</f>
        <v>Oxford, UK : Oxford University Press, 2016.</v>
      </c>
      <c r="E88" s="26" t="str">
        <f ca="1">IFERROR(__xludf.DUMMYFUNCTION("""COMPUTED_VALUE"""),"341.9(4-672EU) CreM p 2016")</f>
        <v>341.9(4-672EU) CreM p 2016</v>
      </c>
      <c r="F88" s="28" t="str">
        <f ca="1">IFERROR(__xludf.DUMMYFUNCTION("""COMPUTED_VALUE"""),"Αίθουσα Διεθνους Δικαίου και Εμπορικού Δικαίου")</f>
        <v>Αίθουσα Διεθνους Δικαίου και Εμπορικού Δικαίου</v>
      </c>
    </row>
    <row r="89" spans="1:6" ht="38.25" customHeight="1" x14ac:dyDescent="0.3">
      <c r="A89" s="25" t="str">
        <f ca="1">IFERROR(__xludf.DUMMYFUNCTION("""COMPUTED_VALUE"""),"Public law after the Human Rights Act / Tom Hickman.")</f>
        <v>Public law after the Human Rights Act / Tom Hickman.</v>
      </c>
      <c r="B89" s="26" t="str">
        <f ca="1">IFERROR(__xludf.DUMMYFUNCTION("""COMPUTED_VALUE"""),"Hickman, Tom (Tom R.)")</f>
        <v>Hickman, Tom (Tom R.)</v>
      </c>
      <c r="C89" s="26" t="str">
        <f ca="1">IFERROR(__xludf.DUMMYFUNCTION("""COMPUTED_VALUE"""),"")</f>
        <v/>
      </c>
      <c r="D89" s="27" t="str">
        <f ca="1">IFERROR(__xludf.DUMMYFUNCTION("""COMPUTED_VALUE"""),"Oxford   Portland, Or. : Hart Pub., 2010.")</f>
        <v>Oxford   Portland, Or. : Hart Pub., 2010.</v>
      </c>
      <c r="E89" s="26" t="str">
        <f ca="1">IFERROR(__xludf.DUMMYFUNCTION("""COMPUTED_VALUE"""),"342(410) HicT p 2010")</f>
        <v>342(410) HicT p 2010</v>
      </c>
      <c r="F89" s="28" t="str">
        <f ca="1">IFERROR(__xludf.DUMMYFUNCTION("""COMPUTED_VALUE"""),"Αίθουσα Δημοσίου Δικαίου")</f>
        <v>Αίθουσα Δημοσίου Δικαίου</v>
      </c>
    </row>
    <row r="90" spans="1:6" ht="38.25" customHeight="1" x14ac:dyDescent="0.3">
      <c r="A90" s="25" t="str">
        <f ca="1">IFERROR(__xludf.DUMMYFUNCTION("""COMPUTED_VALUE"""),"Questioning sovereignty : law, state, and nation in the European commonwealth / Neil MacCormick.")</f>
        <v>Questioning sovereignty : law, state, and nation in the European commonwealth / Neil MacCormick.</v>
      </c>
      <c r="B90" s="26" t="str">
        <f ca="1">IFERROR(__xludf.DUMMYFUNCTION("""COMPUTED_VALUE"""),"MacCormick, Neil.")</f>
        <v>MacCormick, Neil.</v>
      </c>
      <c r="C90" s="26" t="str">
        <f ca="1">IFERROR(__xludf.DUMMYFUNCTION("""COMPUTED_VALUE"""),"")</f>
        <v/>
      </c>
      <c r="D90" s="27" t="str">
        <f ca="1">IFERROR(__xludf.DUMMYFUNCTION("""COMPUTED_VALUE"""),"Oxford : Oxford University Press, c1999.")</f>
        <v>Oxford : Oxford University Press, c1999.</v>
      </c>
      <c r="E90" s="26" t="str">
        <f ca="1">IFERROR(__xludf.DUMMYFUNCTION("""COMPUTED_VALUE"""),"342.3 MacCN q 1999")</f>
        <v>342.3 MacCN q 1999</v>
      </c>
      <c r="F90" s="28" t="str">
        <f ca="1">IFERROR(__xludf.DUMMYFUNCTION("""COMPUTED_VALUE"""),"Αίθουσα Δημοσίου Δικαίου - Ανατύπωση 2008")</f>
        <v>Αίθουσα Δημοσίου Δικαίου - Ανατύπωση 2008</v>
      </c>
    </row>
    <row r="91" spans="1:6" ht="70.5" customHeight="1" x14ac:dyDescent="0.3">
      <c r="A91" s="25" t="str">
        <f ca="1">IFERROR(__xludf.DUMMYFUNCTION("""COMPUTED_VALUE"""),"Reasoning rights : comparative judicial engagement / general editors Liora Lazarus, Christopher McCrudden, Nigel Bowles   co-ordinating editor, Laura Hilly   sub editors, Ryan Goss, Kai Möller, Brett Scharffs, Murray Wesson.")</f>
        <v>Reasoning rights : comparative judicial engagement / general editors Liora Lazarus, Christopher McCrudden, Nigel Bowles   co-ordinating editor, Laura Hilly   sub editors, Ryan Goss, Kai Möller, Brett Scharffs, Murray Wesson.</v>
      </c>
      <c r="B91" s="26" t="str">
        <f ca="1">IFERROR(__xludf.DUMMYFUNCTION("""COMPUTED_VALUE"""),"")</f>
        <v/>
      </c>
      <c r="C91" s="26" t="str">
        <f ca="1">IFERROR(__xludf.DUMMYFUNCTION("""COMPUTED_VALUE"""),"")</f>
        <v/>
      </c>
      <c r="D91" s="27" t="str">
        <f ca="1">IFERROR(__xludf.DUMMYFUNCTION("""COMPUTED_VALUE"""),"Oxford, UK   Portland, Oregon : Hart Publishing, 2016.")</f>
        <v>Oxford, UK   Portland, Oregon : Hart Publishing, 2016.</v>
      </c>
      <c r="E91" s="26" t="str">
        <f ca="1">IFERROR(__xludf.DUMMYFUNCTION("""COMPUTED_VALUE"""),"342.56 LazL r 2016")</f>
        <v>342.56 LazL r 2016</v>
      </c>
      <c r="F91" s="28" t="str">
        <f ca="1">IFERROR(__xludf.DUMMYFUNCTION("""COMPUTED_VALUE"""),"Αίθουσα Διεθνούς Δικαίου")</f>
        <v>Αίθουσα Διεθνούς Δικαίου</v>
      </c>
    </row>
    <row r="92" spans="1:6" ht="38.25" customHeight="1" x14ac:dyDescent="0.3">
      <c r="A92" s="25" t="str">
        <f ca="1">IFERROR(__xludf.DUMMYFUNCTION("""COMPUTED_VALUE"""),"Reclaiming constitutionalism : democracy, power, and the state / Maria Tzanakopoulou.")</f>
        <v>Reclaiming constitutionalism : democracy, power, and the state / Maria Tzanakopoulou.</v>
      </c>
      <c r="B92" s="26" t="str">
        <f ca="1">IFERROR(__xludf.DUMMYFUNCTION("""COMPUTED_VALUE"""),"Τζανακοπούλου, Μαρία.")</f>
        <v>Τζανακοπούλου, Μαρία.</v>
      </c>
      <c r="C92" s="26" t="str">
        <f ca="1">IFERROR(__xludf.DUMMYFUNCTION("""COMPUTED_VALUE"""),"")</f>
        <v/>
      </c>
      <c r="D92" s="27" t="str">
        <f ca="1">IFERROR(__xludf.DUMMYFUNCTION("""COMPUTED_VALUE"""),"Oxford   Portland, Oregon : Hart Publishing, 2018.")</f>
        <v>Oxford   Portland, Oregon : Hart Publishing, 2018.</v>
      </c>
      <c r="E92" s="26" t="str">
        <f ca="1">IFERROR(__xludf.DUMMYFUNCTION("""COMPUTED_VALUE"""),"342 ΤζαΜ r 2018")</f>
        <v>342 ΤζαΜ r 2018</v>
      </c>
      <c r="F92" s="28" t="str">
        <f ca="1">IFERROR(__xludf.DUMMYFUNCTION("""COMPUTED_VALUE"""),"Αίθουσα Δημοσίου Δικαίου")</f>
        <v>Αίθουσα Δημοσίου Δικαίου</v>
      </c>
    </row>
    <row r="93" spans="1:6" ht="38.25" customHeight="1" x14ac:dyDescent="0.3">
      <c r="A93" s="25" t="str">
        <f ca="1">IFERROR(__xludf.DUMMYFUNCTION("""COMPUTED_VALUE"""),"Rendre à César : économie et société dans la Rome antique / Claude Nicolet.")</f>
        <v>Rendre à César : économie et société dans la Rome antique / Claude Nicolet.</v>
      </c>
      <c r="B93" s="26" t="str">
        <f ca="1">IFERROR(__xludf.DUMMYFUNCTION("""COMPUTED_VALUE"""),"Nicolet, Claude, 1930-")</f>
        <v>Nicolet, Claude, 1930-</v>
      </c>
      <c r="C93" s="26" t="str">
        <f ca="1">IFERROR(__xludf.DUMMYFUNCTION("""COMPUTED_VALUE"""),"")</f>
        <v/>
      </c>
      <c r="D93" s="27" t="str">
        <f ca="1">IFERROR(__xludf.DUMMYFUNCTION("""COMPUTED_VALUE"""),"Paris : Gallimard, 1988.")</f>
        <v>Paris : Gallimard, 1988.</v>
      </c>
      <c r="E93" s="26" t="str">
        <f ca="1">IFERROR(__xludf.DUMMYFUNCTION("""COMPUTED_VALUE"""),"338(37) NicC r 1988")</f>
        <v>338(37) NicC r 1988</v>
      </c>
      <c r="F93" s="28" t="str">
        <f ca="1">IFERROR(__xludf.DUMMYFUNCTION("""COMPUTED_VALUE"""),"Αίθουσα ιστορίας, Θεωρίας και Φιλοσοφίας του Δικαίου")</f>
        <v>Αίθουσα ιστορίας, Θεωρίας και Φιλοσοφίας του Δικαίου</v>
      </c>
    </row>
    <row r="94" spans="1:6" ht="38.25" customHeight="1" x14ac:dyDescent="0.3">
      <c r="A94" s="25" t="str">
        <f ca="1">IFERROR(__xludf.DUMMYFUNCTION("""COMPUTED_VALUE"""),"Res medii aevi : kleines Lexikon der Mittelalterkunde / herausgegeben von Renate Neumüllers-Klauser.")</f>
        <v>Res medii aevi : kleines Lexikon der Mittelalterkunde / herausgegeben von Renate Neumüllers-Klauser.</v>
      </c>
      <c r="B94" s="26" t="str">
        <f ca="1">IFERROR(__xludf.DUMMYFUNCTION("""COMPUTED_VALUE"""),"")</f>
        <v/>
      </c>
      <c r="C94" s="26" t="str">
        <f ca="1">IFERROR(__xludf.DUMMYFUNCTION("""COMPUTED_VALUE"""),"")</f>
        <v/>
      </c>
      <c r="D94" s="27" t="str">
        <f ca="1">IFERROR(__xludf.DUMMYFUNCTION("""COMPUTED_VALUE"""),"Wiesbaden : Harrassowitz, 1999.")</f>
        <v>Wiesbaden : Harrassowitz, 1999.</v>
      </c>
      <c r="E94" s="26" t="str">
        <f ca="1">IFERROR(__xludf.DUMMYFUNCTION("""COMPUTED_VALUE"""),"94(3)(038) NeuR r 1999")</f>
        <v>94(3)(038) NeuR r 1999</v>
      </c>
      <c r="F94" s="28" t="str">
        <f ca="1">IFERROR(__xludf.DUMMYFUNCTION("""COMPUTED_VALUE"""),"Αίθουσα Ιστορίας, Θεωρίας και Φιλοσοφίας του Δικαίου")</f>
        <v>Αίθουσα Ιστορίας, Θεωρίας και Φιλοσοφίας του Δικαίου</v>
      </c>
    </row>
    <row r="95" spans="1:6" ht="38.25" customHeight="1" x14ac:dyDescent="0.3">
      <c r="A95" s="25" t="str">
        <f ca="1">IFERROR(__xludf.DUMMYFUNCTION("""COMPUTED_VALUE"""),"Research handbook on behavioral law and economics / edited by Joshua C. Teitelbaum, Kathryn Zeiler.")</f>
        <v>Research handbook on behavioral law and economics / edited by Joshua C. Teitelbaum, Kathryn Zeiler.</v>
      </c>
      <c r="B95" s="26" t="str">
        <f ca="1">IFERROR(__xludf.DUMMYFUNCTION("""COMPUTED_VALUE"""),"")</f>
        <v/>
      </c>
      <c r="C95" s="26" t="str">
        <f ca="1">IFERROR(__xludf.DUMMYFUNCTION("""COMPUTED_VALUE"""),"")</f>
        <v/>
      </c>
      <c r="D95" s="27" t="str">
        <f ca="1">IFERROR(__xludf.DUMMYFUNCTION("""COMPUTED_VALUE"""),"Cheltenham, UK : Edward Elgar, 2018.")</f>
        <v>Cheltenham, UK : Edward Elgar, 2018.</v>
      </c>
      <c r="E95" s="26" t="str">
        <f ca="1">IFERROR(__xludf.DUMMYFUNCTION("""COMPUTED_VALUE"""),"34:33 TeiJ r 2018")</f>
        <v>34:33 TeiJ r 2018</v>
      </c>
      <c r="F95" s="28" t="str">
        <f ca="1">IFERROR(__xludf.DUMMYFUNCTION("""COMPUTED_VALUE"""),"Αίθουσα Δημοσίου Δικαίου")</f>
        <v>Αίθουσα Δημοσίου Δικαίου</v>
      </c>
    </row>
    <row r="96" spans="1:6" ht="38.25" customHeight="1" x14ac:dyDescent="0.3">
      <c r="A96" s="25" t="str">
        <f ca="1">IFERROR(__xludf.DUMMYFUNCTION("""COMPUTED_VALUE"""),"Research handbook on the law of the EU's internal market / edited by Panos Koutrakos, Jukka Snell.")</f>
        <v>Research handbook on the law of the EU's internal market / edited by Panos Koutrakos, Jukka Snell.</v>
      </c>
      <c r="B96" s="26" t="str">
        <f ca="1">IFERROR(__xludf.DUMMYFUNCTION("""COMPUTED_VALUE"""),"")</f>
        <v/>
      </c>
      <c r="C96" s="26" t="str">
        <f ca="1">IFERROR(__xludf.DUMMYFUNCTION("""COMPUTED_VALUE"""),"")</f>
        <v/>
      </c>
      <c r="D96" s="27" t="str">
        <f ca="1">IFERROR(__xludf.DUMMYFUNCTION("""COMPUTED_VALUE"""),"Cheltenham, UK : Edward Elgar Publishing, 2017.")</f>
        <v>Cheltenham, UK : Edward Elgar Publishing, 2017.</v>
      </c>
      <c r="E96" s="26" t="str">
        <f ca="1">IFERROR(__xludf.DUMMYFUNCTION("""COMPUTED_VALUE"""),"347.73(4-672EU) ΚουΠ r 2017")</f>
        <v>347.73(4-672EU) ΚουΠ r 2017</v>
      </c>
      <c r="F96" s="28" t="str">
        <f ca="1">IFERROR(__xludf.DUMMYFUNCTION("""COMPUTED_VALUE"""),"Αίθουσα Διεθνούς Δικαίου και Εμπορικού Δικαίου")</f>
        <v>Αίθουσα Διεθνούς Δικαίου και Εμπορικού Δικαίου</v>
      </c>
    </row>
    <row r="97" spans="1:6" ht="38.25" customHeight="1" x14ac:dyDescent="0.3">
      <c r="A97" s="25" t="str">
        <f ca="1">IFERROR(__xludf.DUMMYFUNCTION("""COMPUTED_VALUE"""),"Rome et le droit : [les sources du droit, famille et société, propiété et testament, le procès, la réflexion sur le droit et son influence] / Michèle Ducos.")</f>
        <v>Rome et le droit : [les sources du droit, famille et société, propiété et testament, le procès, la réflexion sur le droit et son influence] / Michèle Ducos.</v>
      </c>
      <c r="B97" s="26" t="str">
        <f ca="1">IFERROR(__xludf.DUMMYFUNCTION("""COMPUTED_VALUE"""),"Ducos, Michèle.")</f>
        <v>Ducos, Michèle.</v>
      </c>
      <c r="C97" s="26" t="str">
        <f ca="1">IFERROR(__xludf.DUMMYFUNCTION("""COMPUTED_VALUE"""),"")</f>
        <v/>
      </c>
      <c r="D97" s="27" t="str">
        <f ca="1">IFERROR(__xludf.DUMMYFUNCTION("""COMPUTED_VALUE"""),"[Paris] : Librairie Générale Française, 1996.")</f>
        <v>[Paris] : Librairie Générale Française, 1996.</v>
      </c>
      <c r="E97" s="26" t="str">
        <f ca="1">IFERROR(__xludf.DUMMYFUNCTION("""COMPUTED_VALUE"""),"34(37) DucM r 1996")</f>
        <v>34(37) DucM r 1996</v>
      </c>
      <c r="F97" s="28" t="str">
        <f ca="1">IFERROR(__xludf.DUMMYFUNCTION("""COMPUTED_VALUE"""),"Αίθουσα Ιστορίας, Θεωρίας και Φιλοσοφίας του Δικαίου")</f>
        <v>Αίθουσα Ιστορίας, Θεωρίας και Φιλοσοφίας του Δικαίου</v>
      </c>
    </row>
    <row r="98" spans="1:6" ht="38.25" customHeight="1" x14ac:dyDescent="0.3">
      <c r="A98" s="25" t="str">
        <f ca="1">IFERROR(__xludf.DUMMYFUNCTION("""COMPUTED_VALUE"""),"Sacrifice et labour en grèce ancienne : essai dʹanthropologie religieuse / Jean-Louis Durand.")</f>
        <v>Sacrifice et labour en grèce ancienne : essai dʹanthropologie religieuse / Jean-Louis Durand.</v>
      </c>
      <c r="B98" s="26" t="str">
        <f ca="1">IFERROR(__xludf.DUMMYFUNCTION("""COMPUTED_VALUE"""),"Durand, Jean-Louis.")</f>
        <v>Durand, Jean-Louis.</v>
      </c>
      <c r="C98" s="26" t="str">
        <f ca="1">IFERROR(__xludf.DUMMYFUNCTION("""COMPUTED_VALUE"""),"")</f>
        <v/>
      </c>
      <c r="D98" s="27" t="str">
        <f ca="1">IFERROR(__xludf.DUMMYFUNCTION("""COMPUTED_VALUE"""),"Paris   Rome : Decouverte : Ecole Francaise de Rome, 1986.")</f>
        <v>Paris   Rome : Decouverte : Ecole Francaise de Rome, 1986.</v>
      </c>
      <c r="E98" s="26" t="str">
        <f ca="1">IFERROR(__xludf.DUMMYFUNCTION("""COMPUTED_VALUE"""),"255.2-538 DurJ s 1986")</f>
        <v>255.2-538 DurJ s 1986</v>
      </c>
      <c r="F98" s="28" t="str">
        <f ca="1">IFERROR(__xludf.DUMMYFUNCTION("""COMPUTED_VALUE"""),"Αίθουσα Ιστρορίας, Θεωρίας και Φιλοσοφίας του Δικαίου")</f>
        <v>Αίθουσα Ιστρορίας, Θεωρίας και Φιλοσοφίας του Δικαίου</v>
      </c>
    </row>
    <row r="99" spans="1:6" ht="38.25" customHeight="1" x14ac:dyDescent="0.3">
      <c r="A99" s="25" t="str">
        <f ca="1">IFERROR(__xludf.DUMMYFUNCTION("""COMPUTED_VALUE"""),"Secondo natura : la bisessualità nel mondo antico / Eva Cantarella.")</f>
        <v>Secondo natura : la bisessualità nel mondo antico / Eva Cantarella.</v>
      </c>
      <c r="B99" s="26" t="str">
        <f ca="1">IFERROR(__xludf.DUMMYFUNCTION("""COMPUTED_VALUE"""),"Cantarella, Eva.")</f>
        <v>Cantarella, Eva.</v>
      </c>
      <c r="C99" s="26" t="str">
        <f ca="1">IFERROR(__xludf.DUMMYFUNCTION("""COMPUTED_VALUE"""),"")</f>
        <v/>
      </c>
      <c r="D99" s="27" t="str">
        <f ca="1">IFERROR(__xludf.DUMMYFUNCTION("""COMPUTED_VALUE"""),"Roma : Riuniti, 1988.")</f>
        <v>Roma : Riuniti, 1988.</v>
      </c>
      <c r="E99" s="26" t="str">
        <f ca="1">IFERROR(__xludf.DUMMYFUNCTION("""COMPUTED_VALUE"""),"316.367.7(3) CanE s 1988")</f>
        <v>316.367.7(3) CanE s 1988</v>
      </c>
      <c r="F99" s="28" t="str">
        <f ca="1">IFERROR(__xludf.DUMMYFUNCTION("""COMPUTED_VALUE"""),"Αίθουσα Ιστορίας, Θεωρίας και Φιλοσοφίας του Δικαίου")</f>
        <v>Αίθουσα Ιστορίας, Θεωρίας και Φιλοσοφίας του Δικαίου</v>
      </c>
    </row>
    <row r="100" spans="1:6" ht="38.25" customHeight="1" x14ac:dyDescent="0.3">
      <c r="A100" s="25" t="str">
        <f ca="1">IFERROR(__xludf.DUMMYFUNCTION("""COMPUTED_VALUE"""),"Shipping and the environment : law and practice / by Colin de la Rue and Charles B. Anderson  foreword by Efthimios E. Mitropoulos.")</f>
        <v>Shipping and the environment : law and practice / by Colin de la Rue and Charles B. Anderson  foreword by Efthimios E. Mitropoulos.</v>
      </c>
      <c r="B100" s="26" t="str">
        <f ca="1">IFERROR(__xludf.DUMMYFUNCTION("""COMPUTED_VALUE"""),"Rue, Colin M. de la")</f>
        <v>Rue, Colin M. de la</v>
      </c>
      <c r="C100" s="26" t="str">
        <f ca="1">IFERROR(__xludf.DUMMYFUNCTION("""COMPUTED_VALUE"""),"")</f>
        <v/>
      </c>
      <c r="D100" s="27" t="str">
        <f ca="1">IFERROR(__xludf.DUMMYFUNCTION("""COMPUTED_VALUE"""),"London  New York : Routledge, 2015")</f>
        <v>London  New York : Routledge, 2015</v>
      </c>
      <c r="E100" s="26" t="str">
        <f ca="1">IFERROR(__xludf.DUMMYFUNCTION("""COMPUTED_VALUE"""),"347.799.2 RueC s 2015")</f>
        <v>347.799.2 RueC s 2015</v>
      </c>
      <c r="F100" s="28" t="str">
        <f ca="1">IFERROR(__xludf.DUMMYFUNCTION("""COMPUTED_VALUE"""),"Αίθουσα Διεθνούς Δικαίου και Εμπορικού Δικαίου")</f>
        <v>Αίθουσα Διεθνούς Δικαίου και Εμπορικού Δικαίου</v>
      </c>
    </row>
    <row r="101" spans="1:6" ht="38.25" customHeight="1" x14ac:dyDescent="0.3">
      <c r="A101" s="25" t="str">
        <f ca="1">IFERROR(__xludf.DUMMYFUNCTION("""COMPUTED_VALUE"""),"Storia sociale ed economica dell'eta' classica negli studi polacchi contemporanei / a cura di Izabela Bieżuńska-Małowist.")</f>
        <v>Storia sociale ed economica dell'eta' classica negli studi polacchi contemporanei / a cura di Izabela Bieżuńska-Małowist.</v>
      </c>
      <c r="B101" s="26" t="str">
        <f ca="1">IFERROR(__xludf.DUMMYFUNCTION("""COMPUTED_VALUE"""),"")</f>
        <v/>
      </c>
      <c r="C101" s="26" t="str">
        <f ca="1">IFERROR(__xludf.DUMMYFUNCTION("""COMPUTED_VALUE"""),"")</f>
        <v/>
      </c>
      <c r="D101" s="27" t="str">
        <f ca="1">IFERROR(__xludf.DUMMYFUNCTION("""COMPUTED_VALUE"""),"Milano : Cisalpino-Goliardica, 1975.")</f>
        <v>Milano : Cisalpino-Goliardica, 1975.</v>
      </c>
      <c r="E101" s="26" t="str">
        <f ca="1">IFERROR(__xludf.DUMMYFUNCTION("""COMPUTED_VALUE"""),"326(3) BieI s 1975")</f>
        <v>326(3) BieI s 1975</v>
      </c>
      <c r="F101" s="28" t="str">
        <f ca="1">IFERROR(__xludf.DUMMYFUNCTION("""COMPUTED_VALUE"""),"Αίθουσα Ιστορίας, Θεωρίας και Φιλοσοφίας του Δικαίου")</f>
        <v>Αίθουσα Ιστορίας, Θεωρίας και Φιλοσοφίας του Δικαίου</v>
      </c>
    </row>
    <row r="102" spans="1:6" ht="38.25" customHeight="1" x14ac:dyDescent="0.3">
      <c r="A102" s="25" t="str">
        <f ca="1">IFERROR(__xludf.DUMMYFUNCTION("""COMPUTED_VALUE"""),"Synthèses romaines : langue latine, droit romain, institutions comparées : études publiées en hommage au professeur J.-H. Michel / par Ghislaine Viré.")</f>
        <v>Synthèses romaines : langue latine, droit romain, institutions comparées : études publiées en hommage au professeur J.-H. Michel / par Ghislaine Viré.</v>
      </c>
      <c r="B102" s="26" t="str">
        <f ca="1">IFERROR(__xludf.DUMMYFUNCTION("""COMPUTED_VALUE"""),"Viré, Ghislaine.")</f>
        <v>Viré, Ghislaine.</v>
      </c>
      <c r="C102" s="26" t="str">
        <f ca="1">IFERROR(__xludf.DUMMYFUNCTION("""COMPUTED_VALUE"""),"")</f>
        <v/>
      </c>
      <c r="D102" s="27" t="str">
        <f ca="1">IFERROR(__xludf.DUMMYFUNCTION("""COMPUTED_VALUE"""),"Bruxelles : Latomus, 1998.")</f>
        <v>Bruxelles : Latomus, 1998.</v>
      </c>
      <c r="E102" s="26" t="str">
        <f ca="1">IFERROR(__xludf.DUMMYFUNCTION("""COMPUTED_VALUE"""),"34(082.2) MicJ s 1998")</f>
        <v>34(082.2) MicJ s 1998</v>
      </c>
      <c r="F102" s="28" t="str">
        <f ca="1">IFERROR(__xludf.DUMMYFUNCTION("""COMPUTED_VALUE"""),"Αίθουσα τιμητικών τόμων 1ος όροφος")</f>
        <v>Αίθουσα τιμητικών τόμων 1ος όροφος</v>
      </c>
    </row>
    <row r="103" spans="1:6" ht="84" customHeight="1" x14ac:dyDescent="0.3">
      <c r="A103" s="25" t="str">
        <f ca="1">IFERROR(__xludf.DUMMYFUNCTION("""COMPUTED_VALUE"""),"Systèmes économiques et finances publiques / Fondation européenne de la science   sous la direction de Richard Bonney, traduit de l'anglais par Roland Marx et Nora Wang, texte français établi par Jean-Claude Hocquet.")</f>
        <v>Systèmes économiques et finances publiques / Fondation européenne de la science   sous la direction de Richard Bonney, traduit de l'anglais par Roland Marx et Nora Wang, texte français établi par Jean-Claude Hocquet.</v>
      </c>
      <c r="B103" s="26" t="str">
        <f ca="1">IFERROR(__xludf.DUMMYFUNCTION("""COMPUTED_VALUE"""),"European Science Foundation.")</f>
        <v>European Science Foundation.</v>
      </c>
      <c r="C103" s="26" t="str">
        <f ca="1">IFERROR(__xludf.DUMMYFUNCTION("""COMPUTED_VALUE"""),"")</f>
        <v/>
      </c>
      <c r="D103" s="27" t="str">
        <f ca="1">IFERROR(__xludf.DUMMYFUNCTION("""COMPUTED_VALUE"""),"Paris : Presses universitaires, 1996.")</f>
        <v>Paris : Presses universitaires, 1996.</v>
      </c>
      <c r="E103" s="26" t="str">
        <f ca="1">IFERROR(__xludf.DUMMYFUNCTION("""COMPUTED_VALUE"""),"351.82 ESF s 1996")</f>
        <v>351.82 ESF s 1996</v>
      </c>
      <c r="F103" s="28" t="str">
        <f ca="1">IFERROR(__xludf.DUMMYFUNCTION("""COMPUTED_VALUE"""),"Αίθουσα Δημοσίου Δικαίου")</f>
        <v>Αίθουσα Δημοσίου Δικαίου</v>
      </c>
    </row>
    <row r="104" spans="1:6" ht="38.25" customHeight="1" x14ac:dyDescent="0.3">
      <c r="A104" s="25" t="str">
        <f ca="1">IFERROR(__xludf.DUMMYFUNCTION("""COMPUTED_VALUE"""),"The codex of Justinian: a new annotated translation with parallel Latin and Greek text. / based on a translation by Justice Fred H. Blume  Bruce W. Frier general editor.")</f>
        <v>The codex of Justinian: a new annotated translation with parallel Latin and Greek text. / based on a translation by Justice Fred H. Blume  Bruce W. Frier general editor.</v>
      </c>
      <c r="B104" s="26" t="str">
        <f ca="1">IFERROR(__xludf.DUMMYFUNCTION("""COMPUTED_VALUE"""),"Ιουστινιανός Α,  Άυτοκράτoρας του Βυζαντίου,  527-565.")</f>
        <v>Ιουστινιανός Α,  Άυτοκράτoρας του Βυζαντίου,  527-565.</v>
      </c>
      <c r="C104" s="26" t="str">
        <f ca="1">IFERROR(__xludf.DUMMYFUNCTION("""COMPUTED_VALUE"""),"")</f>
        <v/>
      </c>
      <c r="D104" s="27" t="str">
        <f ca="1">IFERROR(__xludf.DUMMYFUNCTION("""COMPUTED_VALUE"""),"Cambridge: Cambridge University Press, 2016.")</f>
        <v>Cambridge: Cambridge University Press, 2016.</v>
      </c>
      <c r="E104" s="26" t="s">
        <v>2615</v>
      </c>
      <c r="F104" s="28" t="str">
        <f ca="1">IFERROR(__xludf.DUMMYFUNCTION("""COMPUTED_VALUE"""),"Αίθουσα Ιστορίας, Θεωρίας και Φιλοσοφίας του Δικαίου")</f>
        <v>Αίθουσα Ιστορίας, Θεωρίας και Φιλοσοφίας του Δικαίου</v>
      </c>
    </row>
    <row r="105" spans="1:6" ht="38.25" customHeight="1" x14ac:dyDescent="0.3">
      <c r="A105" s="25" t="str">
        <f ca="1">IFERROR(__xludf.DUMMYFUNCTION("""COMPUTED_VALUE"""),"The common law constitution / Sir John Laws.")</f>
        <v>The common law constitution / Sir John Laws.</v>
      </c>
      <c r="B105" s="26" t="str">
        <f ca="1">IFERROR(__xludf.DUMMYFUNCTION("""COMPUTED_VALUE"""),"Laws, John, 1945-")</f>
        <v>Laws, John, 1945-</v>
      </c>
      <c r="C105" s="26" t="str">
        <f ca="1">IFERROR(__xludf.DUMMYFUNCTION("""COMPUTED_VALUE"""),"")</f>
        <v/>
      </c>
      <c r="D105" s="27" t="str">
        <f ca="1">IFERROR(__xludf.DUMMYFUNCTION("""COMPUTED_VALUE"""),"Cambridge : Cambridge University Press, 2014.")</f>
        <v>Cambridge : Cambridge University Press, 2014.</v>
      </c>
      <c r="E105" s="26" t="str">
        <f ca="1">IFERROR(__xludf.DUMMYFUNCTION("""COMPUTED_VALUE"""),"342(410) LawJ c 2014")</f>
        <v>342(410) LawJ c 2014</v>
      </c>
      <c r="F105" s="28" t="str">
        <f ca="1">IFERROR(__xludf.DUMMYFUNCTION("""COMPUTED_VALUE"""),"Αίθουσα Δημοσίου Δικαίου")</f>
        <v>Αίθουσα Δημοσίου Δικαίου</v>
      </c>
    </row>
    <row r="106" spans="1:6" ht="38.25" customHeight="1" x14ac:dyDescent="0.3">
      <c r="A106" s="25" t="str">
        <f ca="1">IFERROR(__xludf.DUMMYFUNCTION("""COMPUTED_VALUE"""),"The Constitution of the United States of America : a contextual analysis / Mark Tushnet.")</f>
        <v>The Constitution of the United States of America : a contextual analysis / Mark Tushnet.</v>
      </c>
      <c r="B106" s="26" t="str">
        <f ca="1">IFERROR(__xludf.DUMMYFUNCTION("""COMPUTED_VALUE"""),"Tushnet, Mark V., 1945-")</f>
        <v>Tushnet, Mark V., 1945-</v>
      </c>
      <c r="C106" s="26" t="str">
        <f ca="1">IFERROR(__xludf.DUMMYFUNCTION("""COMPUTED_VALUE"""),"2nd ed.")</f>
        <v>2nd ed.</v>
      </c>
      <c r="D106" s="27" t="str">
        <f ca="1">IFERROR(__xludf.DUMMYFUNCTION("""COMPUTED_VALUE"""),"Oxford, UK : Hart Publishing, 2015.")</f>
        <v>Oxford, UK : Hart Publishing, 2015.</v>
      </c>
      <c r="E106" s="26" t="str">
        <f ca="1">IFERROR(__xludf.DUMMYFUNCTION("""COMPUTED_VALUE"""),"342.4(73) TusM c 2015")</f>
        <v>342.4(73) TusM c 2015</v>
      </c>
      <c r="F106" s="28" t="str">
        <f ca="1">IFERROR(__xludf.DUMMYFUNCTION("""COMPUTED_VALUE"""),"Αίθουσα Δημοσίου Δικαίου")</f>
        <v>Αίθουσα Δημοσίου Δικαίου</v>
      </c>
    </row>
    <row r="107" spans="1:6" ht="38.25" customHeight="1" x14ac:dyDescent="0.3">
      <c r="A107" s="25" t="str">
        <f ca="1">IFERROR(__xludf.DUMMYFUNCTION("""COMPUTED_VALUE"""),"The Council of Europe : its law and policies / edited by Stefanie Schmahl, Marten Breuer.")</f>
        <v>The Council of Europe : its law and policies / edited by Stefanie Schmahl, Marten Breuer.</v>
      </c>
      <c r="B107" s="26" t="str">
        <f ca="1">IFERROR(__xludf.DUMMYFUNCTION("""COMPUTED_VALUE"""),"")</f>
        <v/>
      </c>
      <c r="C107" s="26" t="str">
        <f ca="1">IFERROR(__xludf.DUMMYFUNCTION("""COMPUTED_VALUE"""),"")</f>
        <v/>
      </c>
      <c r="D107" s="27" t="str">
        <f ca="1">IFERROR(__xludf.DUMMYFUNCTION("""COMPUTED_VALUE"""),"Oxford : Oxford University Press, 2017.")</f>
        <v>Oxford : Oxford University Press, 2017.</v>
      </c>
      <c r="E107" s="26" t="str">
        <f ca="1">IFERROR(__xludf.DUMMYFUNCTION("""COMPUTED_VALUE"""),"341.176(4) SchS c 2017")</f>
        <v>341.176(4) SchS c 2017</v>
      </c>
      <c r="F107" s="28" t="str">
        <f ca="1">IFERROR(__xludf.DUMMYFUNCTION("""COMPUTED_VALUE"""),"Αίθουσα Διεθνούς Δικαίου και Εμπορικού Δικαίου")</f>
        <v>Αίθουσα Διεθνούς Δικαίου και Εμπορικού Δικαίου</v>
      </c>
    </row>
    <row r="108" spans="1:6" ht="38.25" customHeight="1" x14ac:dyDescent="0.3">
      <c r="A108" s="25" t="str">
        <f ca="1">IFERROR(__xludf.DUMMYFUNCTION("""COMPUTED_VALUE"""),"The Elgar companion to Ronald H. Coase / edited by Claude Ménard, Elodie Bertrand.")</f>
        <v>The Elgar companion to Ronald H. Coase / edited by Claude Ménard, Elodie Bertrand.</v>
      </c>
      <c r="B108" s="26" t="str">
        <f ca="1">IFERROR(__xludf.DUMMYFUNCTION("""COMPUTED_VALUE"""),"")</f>
        <v/>
      </c>
      <c r="C108" s="26" t="str">
        <f ca="1">IFERROR(__xludf.DUMMYFUNCTION("""COMPUTED_VALUE"""),"")</f>
        <v/>
      </c>
      <c r="D108" s="27" t="str">
        <f ca="1">IFERROR(__xludf.DUMMYFUNCTION("""COMPUTED_VALUE"""),"Cheltenham, UK : Edward Elgar Publishing, [2016]")</f>
        <v>Cheltenham, UK : Edward Elgar Publishing, [2016]</v>
      </c>
      <c r="E108" s="26" t="str">
        <f ca="1">IFERROR(__xludf.DUMMYFUNCTION("""COMPUTED_VALUE"""),"330(410) MenC e 2016")</f>
        <v>330(410) MenC e 2016</v>
      </c>
      <c r="F108" s="28" t="str">
        <f ca="1">IFERROR(__xludf.DUMMYFUNCTION("""COMPUTED_VALUE"""),"Αίθουσα Δημοσίου Δικαίου")</f>
        <v>Αίθουσα Δημοσίου Δικαίου</v>
      </c>
    </row>
    <row r="109" spans="1:6" ht="38.25" customHeight="1" x14ac:dyDescent="0.3">
      <c r="A109" s="25" t="s">
        <v>2616</v>
      </c>
      <c r="B109" s="26" t="s">
        <v>2617</v>
      </c>
      <c r="C109" s="26" t="str">
        <f ca="1">IFERROR(__xludf.DUMMYFUNCTION("""COMPUTED_VALUE"""),"")</f>
        <v/>
      </c>
      <c r="D109" s="27" t="str">
        <f ca="1">IFERROR(__xludf.DUMMYFUNCTION("""COMPUTED_VALUE"""),"Oxford: Hart Publishing, 2014.")</f>
        <v>Oxford: Hart Publishing, 2014.</v>
      </c>
      <c r="E109" s="26" t="str">
        <f ca="1">IFERROR(__xludf.DUMMYFUNCTION("""COMPUTED_VALUE"""),"342.7(4-672EU) PeeS e 2014")</f>
        <v>342.7(4-672EU) PeeS e 2014</v>
      </c>
      <c r="F109" s="28" t="str">
        <f ca="1">IFERROR(__xludf.DUMMYFUNCTION("""COMPUTED_VALUE"""),"Αίθουσα Δημοσίου Δικαίου")</f>
        <v>Αίθουσα Δημοσίου Δικαίου</v>
      </c>
    </row>
    <row r="110" spans="1:6" ht="38.25" customHeight="1" x14ac:dyDescent="0.3">
      <c r="A110" s="25" t="str">
        <f ca="1">IFERROR(__xludf.DUMMYFUNCTION("""COMPUTED_VALUE"""),"The euro area crisis in constitutional perspective / Alicia Hinarejos.")</f>
        <v>The euro area crisis in constitutional perspective / Alicia Hinarejos.</v>
      </c>
      <c r="B110" s="26" t="str">
        <f ca="1">IFERROR(__xludf.DUMMYFUNCTION("""COMPUTED_VALUE"""),"Hinarejos, Alicia.")</f>
        <v>Hinarejos, Alicia.</v>
      </c>
      <c r="C110" s="26" t="str">
        <f ca="1">IFERROR(__xludf.DUMMYFUNCTION("""COMPUTED_VALUE"""),"")</f>
        <v/>
      </c>
      <c r="D110" s="27" t="str">
        <f ca="1">IFERROR(__xludf.DUMMYFUNCTION("""COMPUTED_VALUE"""),"Oxford, UK : Oxford University Press, 2015.")</f>
        <v>Oxford, UK : Oxford University Press, 2015.</v>
      </c>
      <c r="E110" s="26" t="str">
        <f ca="1">IFERROR(__xludf.DUMMYFUNCTION("""COMPUTED_VALUE"""),"347.73(4-672EU) HinA e 2015")</f>
        <v>347.73(4-672EU) HinA e 2015</v>
      </c>
      <c r="F110" s="28" t="str">
        <f ca="1">IFERROR(__xludf.DUMMYFUNCTION("""COMPUTED_VALUE"""),"Αίθουσα Διεθνους Δικαίου και Εμπορικού Δικαίου")</f>
        <v>Αίθουσα Διεθνους Δικαίου και Εμπορικού Δικαίου</v>
      </c>
    </row>
    <row r="111" spans="1:6" ht="38.25" customHeight="1" x14ac:dyDescent="0.3">
      <c r="A111" s="25" t="str">
        <f ca="1">IFERROR(__xludf.DUMMYFUNCTION("""COMPUTED_VALUE"""),"The European Court of Justice and the autonomy of the member states / Hans-W. Micklitz, Bruno De Witte, (editors).")</f>
        <v>The European Court of Justice and the autonomy of the member states / Hans-W. Micklitz, Bruno De Witte, (editors).</v>
      </c>
      <c r="B111" s="26" t="str">
        <f ca="1">IFERROR(__xludf.DUMMYFUNCTION("""COMPUTED_VALUE"""),"")</f>
        <v/>
      </c>
      <c r="C111" s="26" t="str">
        <f ca="1">IFERROR(__xludf.DUMMYFUNCTION("""COMPUTED_VALUE"""),"")</f>
        <v/>
      </c>
      <c r="D111" s="27" t="str">
        <f ca="1">IFERROR(__xludf.DUMMYFUNCTION("""COMPUTED_VALUE"""),"Cambridge, U. K.   Portland, OR : Intersentia, c2012.")</f>
        <v>Cambridge, U. K.   Portland, OR : Intersentia, c2012.</v>
      </c>
      <c r="E111" s="26" t="str">
        <f ca="1">IFERROR(__xludf.DUMMYFUNCTION("""COMPUTED_VALUE"""),"341.645.5(4-672EU) MicH e 2012")</f>
        <v>341.645.5(4-672EU) MicH e 2012</v>
      </c>
      <c r="F111" s="28" t="str">
        <f ca="1">IFERROR(__xludf.DUMMYFUNCTION("""COMPUTED_VALUE"""),"Αίθουσα Διεθνούς Δικαίου και Εμπορικού Δικαίου")</f>
        <v>Αίθουσα Διεθνούς Δικαίου και Εμπορικού Δικαίου</v>
      </c>
    </row>
    <row r="112" spans="1:6" ht="38.25" customHeight="1" x14ac:dyDescent="0.3">
      <c r="A112" s="25" t="s">
        <v>2618</v>
      </c>
      <c r="B112" s="26" t="s">
        <v>2619</v>
      </c>
      <c r="C112" s="26" t="str">
        <f ca="1">IFERROR(__xludf.DUMMYFUNCTION("""COMPUTED_VALUE"""),"")</f>
        <v/>
      </c>
      <c r="D112" s="27" t="str">
        <f ca="1">IFERROR(__xludf.DUMMYFUNCTION("""COMPUTED_VALUE"""),"Oxford [UK]   Portland, Oregon : Hart Publishing, 2017.")</f>
        <v>Oxford [UK]   Portland, Oregon : Hart Publishing, 2017.</v>
      </c>
      <c r="E112" s="26" t="str">
        <f ca="1">IFERROR(__xludf.DUMMYFUNCTION("""COMPUTED_VALUE"""),"342.4 AlbR f 2017")</f>
        <v>342.4 AlbR f 2017</v>
      </c>
      <c r="F112" s="28" t="str">
        <f ca="1">IFERROR(__xludf.DUMMYFUNCTION("""COMPUTED_VALUE"""),"Αίθουσα Δημοσίου Δικαίου")</f>
        <v>Αίθουσα Δημοσίου Δικαίου</v>
      </c>
    </row>
    <row r="113" spans="1:6" ht="38.25" customHeight="1" x14ac:dyDescent="0.3">
      <c r="A113" s="25" t="str">
        <f ca="1">IFERROR(__xludf.DUMMYFUNCTION("""COMPUTED_VALUE"""),"The internal market as a legal concept / Stephen Weatherill.")</f>
        <v>The internal market as a legal concept / Stephen Weatherill.</v>
      </c>
      <c r="B113" s="26" t="str">
        <f ca="1">IFERROR(__xludf.DUMMYFUNCTION("""COMPUTED_VALUE"""),"Weatherill, Stephen, 1961-")</f>
        <v>Weatherill, Stephen, 1961-</v>
      </c>
      <c r="C113" s="26" t="str">
        <f ca="1">IFERROR(__xludf.DUMMYFUNCTION("""COMPUTED_VALUE"""),"")</f>
        <v/>
      </c>
      <c r="D113" s="27" t="str">
        <f ca="1">IFERROR(__xludf.DUMMYFUNCTION("""COMPUTED_VALUE"""),"Oxford, UK : Oxford University Press,  2017.")</f>
        <v>Oxford, UK : Oxford University Press,  2017.</v>
      </c>
      <c r="E113" s="26" t="str">
        <f ca="1">IFERROR(__xludf.DUMMYFUNCTION("""COMPUTED_VALUE"""),"347.73(4-672EU) WeaS i 2017")</f>
        <v>347.73(4-672EU) WeaS i 2017</v>
      </c>
      <c r="F113" s="28" t="str">
        <f ca="1">IFERROR(__xludf.DUMMYFUNCTION("""COMPUTED_VALUE"""),"Αίθουσα Διεθνους Δικαίου και Εμπορικού Δικαίου")</f>
        <v>Αίθουσα Διεθνους Δικαίου και Εμπορικού Δικαίου</v>
      </c>
    </row>
    <row r="114" spans="1:6" ht="38.25" customHeight="1" x14ac:dyDescent="0.3">
      <c r="A114" s="25" t="str">
        <f ca="1">IFERROR(__xludf.DUMMYFUNCTION("""COMPUTED_VALUE"""),"The International Court of Justice and the effectiveness of international law / Philippe Couvreur.")</f>
        <v>The International Court of Justice and the effectiveness of international law / Philippe Couvreur.</v>
      </c>
      <c r="B114" s="26" t="str">
        <f ca="1">IFERROR(__xludf.DUMMYFUNCTION("""COMPUTED_VALUE"""),"Couvreur, Philippe, 1951-")</f>
        <v>Couvreur, Philippe, 1951-</v>
      </c>
      <c r="C114" s="26" t="str">
        <f ca="1">IFERROR(__xludf.DUMMYFUNCTION("""COMPUTED_VALUE"""),"")</f>
        <v/>
      </c>
      <c r="D114" s="27" t="str">
        <f ca="1">IFERROR(__xludf.DUMMYFUNCTION("""COMPUTED_VALUE"""),"Leiden: Brill Nijhoff, [2017].")</f>
        <v>Leiden: Brill Nijhoff, [2017].</v>
      </c>
      <c r="E114" s="26" t="str">
        <f ca="1">IFERROR(__xludf.DUMMYFUNCTION("""COMPUTED_VALUE"""),"341.645.2 CouP i 2017")</f>
        <v>341.645.2 CouP i 2017</v>
      </c>
      <c r="F114" s="28" t="str">
        <f ca="1">IFERROR(__xludf.DUMMYFUNCTION("""COMPUTED_VALUE"""),"Αίθουσα Διεθνούς Δικαίου και Εμπορικού Δικαίου")</f>
        <v>Αίθουσα Διεθνούς Δικαίου και Εμπορικού Δικαίου</v>
      </c>
    </row>
    <row r="115" spans="1:6" ht="38.25" customHeight="1" x14ac:dyDescent="0.3">
      <c r="A115" s="25" t="str">
        <f ca="1">IFERROR(__xludf.DUMMYFUNCTION("""COMPUTED_VALUE"""),"The law &amp; politics of Brexit / edited by Federico Fabbrini.")</f>
        <v>The law &amp; politics of Brexit / edited by Federico Fabbrini.</v>
      </c>
      <c r="B115" s="26" t="str">
        <f ca="1">IFERROR(__xludf.DUMMYFUNCTION("""COMPUTED_VALUE"""),"")</f>
        <v/>
      </c>
      <c r="C115" s="26" t="str">
        <f ca="1">IFERROR(__xludf.DUMMYFUNCTION("""COMPUTED_VALUE"""),"")</f>
        <v/>
      </c>
      <c r="D115" s="27" t="str">
        <f ca="1">IFERROR(__xludf.DUMMYFUNCTION("""COMPUTED_VALUE"""),"Oxford, UK   New York, NY : Oxford University Press, 2017.")</f>
        <v>Oxford, UK   New York, NY : Oxford University Press, 2017.</v>
      </c>
      <c r="E115" s="26" t="str">
        <f ca="1">IFERROR(__xludf.DUMMYFUNCTION("""COMPUTED_VALUE"""),"342(410) FabF l 2017")</f>
        <v>342(410) FabF l 2017</v>
      </c>
      <c r="F115" s="28" t="str">
        <f ca="1">IFERROR(__xludf.DUMMYFUNCTION("""COMPUTED_VALUE"""),"Αίθουσα Δημοσίου Δικαίου")</f>
        <v>Αίθουσα Δημοσίου Δικαίου</v>
      </c>
    </row>
    <row r="116" spans="1:6" ht="38.25" customHeight="1" x14ac:dyDescent="0.3">
      <c r="A116" s="25" t="str">
        <f ca="1">IFERROR(__xludf.DUMMYFUNCTION("""COMPUTED_VALUE"""),"The law and economics of federalism / edited by Jonathan Klick.")</f>
        <v>The law and economics of federalism / edited by Jonathan Klick.</v>
      </c>
      <c r="B116" s="26" t="str">
        <f ca="1">IFERROR(__xludf.DUMMYFUNCTION("""COMPUTED_VALUE"""),"")</f>
        <v/>
      </c>
      <c r="C116" s="26" t="str">
        <f ca="1">IFERROR(__xludf.DUMMYFUNCTION("""COMPUTED_VALUE"""),"")</f>
        <v/>
      </c>
      <c r="D116" s="27" t="str">
        <f ca="1">IFERROR(__xludf.DUMMYFUNCTION("""COMPUTED_VALUE"""),"Cheltenham, UK : Edward Elgar Publishing, 2017.")</f>
        <v>Cheltenham, UK : Edward Elgar Publishing, 2017.</v>
      </c>
      <c r="E116" s="26" t="str">
        <f ca="1">IFERROR(__xludf.DUMMYFUNCTION("""COMPUTED_VALUE"""),"342.24 KliJ l 2017")</f>
        <v>342.24 KliJ l 2017</v>
      </c>
      <c r="F116" s="28" t="str">
        <f ca="1">IFERROR(__xludf.DUMMYFUNCTION("""COMPUTED_VALUE"""),"Αίθουσα Δημοσίου Δικαίου")</f>
        <v>Αίθουσα Δημοσίου Δικαίου</v>
      </c>
    </row>
    <row r="117" spans="1:6" ht="38.25" customHeight="1" x14ac:dyDescent="0.3">
      <c r="A117" s="25" t="str">
        <f ca="1">IFERROR(__xludf.DUMMYFUNCTION("""COMPUTED_VALUE"""),"The law of guarantee : a treatise on guarantee, indemnity, and the standby letter of credit / by Kevin Patrick McGuiness.")</f>
        <v>The law of guarantee : a treatise on guarantee, indemnity, and the standby letter of credit / by Kevin Patrick McGuiness.</v>
      </c>
      <c r="B117" s="26" t="str">
        <f ca="1">IFERROR(__xludf.DUMMYFUNCTION("""COMPUTED_VALUE"""),"McGuinness, Kevin Patrick.")</f>
        <v>McGuinness, Kevin Patrick.</v>
      </c>
      <c r="C117" s="26" t="str">
        <f ca="1">IFERROR(__xludf.DUMMYFUNCTION("""COMPUTED_VALUE"""),"")</f>
        <v/>
      </c>
      <c r="D117" s="27" t="str">
        <f ca="1">IFERROR(__xludf.DUMMYFUNCTION("""COMPUTED_VALUE"""),"Toronto : Carswell, 1986.")</f>
        <v>Toronto : Carswell, 1986.</v>
      </c>
      <c r="E117" s="26" t="str">
        <f ca="1">IFERROR(__xludf.DUMMYFUNCTION("""COMPUTED_VALUE"""),"347.468 McGK l 1986")</f>
        <v>347.468 McGK l 1986</v>
      </c>
      <c r="F117" s="28" t="str">
        <f ca="1">IFERROR(__xludf.DUMMYFUNCTION("""COMPUTED_VALUE"""),"Αίθουσα Αστικού και Αστικού Δικονομικού Δικαίου")</f>
        <v>Αίθουσα Αστικού και Αστικού Δικονομικού Δικαίου</v>
      </c>
    </row>
    <row r="118" spans="1:6" ht="38.25" customHeight="1" x14ac:dyDescent="0.3">
      <c r="A118" s="25" t="str">
        <f ca="1">IFERROR(__xludf.DUMMYFUNCTION("""COMPUTED_VALUE"""),"The law of international organisations / Nigel D. White.")</f>
        <v>The law of international organisations / Nigel D. White.</v>
      </c>
      <c r="B118" s="26" t="str">
        <f ca="1">IFERROR(__xludf.DUMMYFUNCTION("""COMPUTED_VALUE"""),"White, Nigel D., 1961-")</f>
        <v>White, Nigel D., 1961-</v>
      </c>
      <c r="C118" s="26" t="str">
        <f ca="1">IFERROR(__xludf.DUMMYFUNCTION("""COMPUTED_VALUE"""),"3rd ed.")</f>
        <v>3rd ed.</v>
      </c>
      <c r="D118" s="27" t="str">
        <f ca="1">IFERROR(__xludf.DUMMYFUNCTION("""COMPUTED_VALUE"""),"Manchester, UK : Manchester University Press, 2017.")</f>
        <v>Manchester, UK : Manchester University Press, 2017.</v>
      </c>
      <c r="E118" s="26" t="str">
        <f ca="1">IFERROR(__xludf.DUMMYFUNCTION("""COMPUTED_VALUE"""),"341.1 WhiN l 2017")</f>
        <v>341.1 WhiN l 2017</v>
      </c>
      <c r="F118" s="28" t="str">
        <f ca="1">IFERROR(__xludf.DUMMYFUNCTION("""COMPUTED_VALUE"""),"Αίθουσα Διεθνούς Δικαίου και Εμπορικού Δικαίου")</f>
        <v>Αίθουσα Διεθνούς Δικαίου και Εμπορικού Δικαίου</v>
      </c>
    </row>
    <row r="119" spans="1:6" ht="38.25" customHeight="1" x14ac:dyDescent="0.3">
      <c r="A119" s="25" t="str">
        <f ca="1">IFERROR(__xludf.DUMMYFUNCTION("""COMPUTED_VALUE"""),"The principle of mutual recognition in EU law / Christine Janssens.")</f>
        <v>The principle of mutual recognition in EU law / Christine Janssens.</v>
      </c>
      <c r="B119" s="26" t="str">
        <f ca="1">IFERROR(__xludf.DUMMYFUNCTION("""COMPUTED_VALUE"""),"Janssens, Christine.")</f>
        <v>Janssens, Christine.</v>
      </c>
      <c r="C119" s="26" t="str">
        <f ca="1">IFERROR(__xludf.DUMMYFUNCTION("""COMPUTED_VALUE"""),"")</f>
        <v/>
      </c>
      <c r="D119" s="27" t="str">
        <f ca="1">IFERROR(__xludf.DUMMYFUNCTION("""COMPUTED_VALUE"""),"Oxford, United Kingdom : Oxford University Press, 2013.")</f>
        <v>Oxford, United Kingdom : Oxford University Press, 2013.</v>
      </c>
      <c r="E119" s="26" t="str">
        <f ca="1">IFERROR(__xludf.DUMMYFUNCTION("""COMPUTED_VALUE"""),"347.73(4-672EU) JanC p 2013")</f>
        <v>347.73(4-672EU) JanC p 2013</v>
      </c>
      <c r="F119" s="28" t="str">
        <f ca="1">IFERROR(__xludf.DUMMYFUNCTION("""COMPUTED_VALUE"""),"Αίθουσα Διεθνούς Δικαίου και Εμπορικού Δικαίου")</f>
        <v>Αίθουσα Διεθνούς Δικαίου και Εμπορικού Δικαίου</v>
      </c>
    </row>
    <row r="120" spans="1:6" ht="38.25" customHeight="1" x14ac:dyDescent="0.3">
      <c r="A120" s="25" t="str">
        <f ca="1">IFERROR(__xludf.DUMMYFUNCTION("""COMPUTED_VALUE"""),"The rule of law in the European Union : the internal dimension/ Theodore Konstadinides.")</f>
        <v>The rule of law in the European Union : the internal dimension/ Theodore Konstadinides.</v>
      </c>
      <c r="B120" s="26" t="str">
        <f ca="1">IFERROR(__xludf.DUMMYFUNCTION("""COMPUTED_VALUE"""),"Κωνσταντινίδης, Θεόδωρος.")</f>
        <v>Κωνσταντινίδης, Θεόδωρος.</v>
      </c>
      <c r="C120" s="26" t="str">
        <f ca="1">IFERROR(__xludf.DUMMYFUNCTION("""COMPUTED_VALUE"""),"")</f>
        <v/>
      </c>
      <c r="D120" s="27" t="str">
        <f ca="1">IFERROR(__xludf.DUMMYFUNCTION("""COMPUTED_VALUE"""),"Oxford : Hart Publising, 2017.")</f>
        <v>Oxford : Hart Publising, 2017.</v>
      </c>
      <c r="E120" s="26" t="str">
        <f ca="1">IFERROR(__xludf.DUMMYFUNCTION("""COMPUTED_VALUE"""),"34(4-672EU) ΚωνΘ r 2017")</f>
        <v>34(4-672EU) ΚωνΘ r 2017</v>
      </c>
      <c r="F120" s="28" t="str">
        <f ca="1">IFERROR(__xludf.DUMMYFUNCTION("""COMPUTED_VALUE"""),"Αίθουσα Διεθνούς δικαίου και Εμπορικού δικαίου")</f>
        <v>Αίθουσα Διεθνούς δικαίου και Εμπορικού δικαίου</v>
      </c>
    </row>
    <row r="121" spans="1:6" ht="38.25" customHeight="1" x14ac:dyDescent="0.3">
      <c r="A121" s="25" t="str">
        <f ca="1">IFERROR(__xludf.DUMMYFUNCTION("""COMPUTED_VALUE"""),"The scope and intensity of substantive review : traversing Taggart's rainbow / edited by Hanna Wilberg and Mark Elliott.")</f>
        <v>The scope and intensity of substantive review : traversing Taggart's rainbow / edited by Hanna Wilberg and Mark Elliott.</v>
      </c>
      <c r="B121" s="26" t="str">
        <f ca="1">IFERROR(__xludf.DUMMYFUNCTION("""COMPUTED_VALUE"""),"")</f>
        <v/>
      </c>
      <c r="C121" s="26" t="str">
        <f ca="1">IFERROR(__xludf.DUMMYFUNCTION("""COMPUTED_VALUE"""),"")</f>
        <v/>
      </c>
      <c r="D121" s="27" t="str">
        <f ca="1">IFERROR(__xludf.DUMMYFUNCTION("""COMPUTED_VALUE"""),"Oxford, UK   Portland, Oregon: Hart, 2017.")</f>
        <v>Oxford, UK   Portland, Oregon: Hart, 2017.</v>
      </c>
      <c r="E121" s="26" t="str">
        <f ca="1">IFERROR(__xludf.DUMMYFUNCTION("""COMPUTED_VALUE"""),"351.95 WilH s 2017")</f>
        <v>351.95 WilH s 2017</v>
      </c>
      <c r="F121" s="28" t="str">
        <f ca="1">IFERROR(__xludf.DUMMYFUNCTION("""COMPUTED_VALUE"""),"Αίθουσα Δημοσίου Δικαίου")</f>
        <v>Αίθουσα Δημοσίου Δικαίου</v>
      </c>
    </row>
    <row r="122" spans="1:6" ht="38.25" customHeight="1" x14ac:dyDescent="0.3">
      <c r="A122" s="25" t="str">
        <f ca="1">IFERROR(__xludf.DUMMYFUNCTION("""COMPUTED_VALUE"""),"The sovereignty of law : freedom, constitution, and common law / T.R.S. Allan.")</f>
        <v>The sovereignty of law : freedom, constitution, and common law / T.R.S. Allan.</v>
      </c>
      <c r="B122" s="26" t="str">
        <f ca="1">IFERROR(__xludf.DUMMYFUNCTION("""COMPUTED_VALUE"""),"Allan, T. R. S. (Trevor R. S.)")</f>
        <v>Allan, T. R. S. (Trevor R. S.)</v>
      </c>
      <c r="C122" s="26" t="str">
        <f ca="1">IFERROR(__xludf.DUMMYFUNCTION("""COMPUTED_VALUE"""),"")</f>
        <v/>
      </c>
      <c r="D122" s="27" t="str">
        <f ca="1">IFERROR(__xludf.DUMMYFUNCTION("""COMPUTED_VALUE"""),"Oxford, UK : Oxford University Press, 2013.")</f>
        <v>Oxford, UK : Oxford University Press, 2013.</v>
      </c>
      <c r="E122" s="26" t="str">
        <f ca="1">IFERROR(__xludf.DUMMYFUNCTION("""COMPUTED_VALUE"""),"342(410) AllT s 2013")</f>
        <v>342(410) AllT s 2013</v>
      </c>
      <c r="F122" s="28" t="str">
        <f ca="1">IFERROR(__xludf.DUMMYFUNCTION("""COMPUTED_VALUE"""),"Αίθουσα Δημοσίου Δικαίου")</f>
        <v>Αίθουσα Δημοσίου Δικαίου</v>
      </c>
    </row>
    <row r="123" spans="1:6" ht="38.25" customHeight="1" x14ac:dyDescent="0.3">
      <c r="A123" s="25" t="str">
        <f ca="1">IFERROR(__xludf.DUMMYFUNCTION("""COMPUTED_VALUE"""),"The U.S. Constitution : a very short introduction / David J. Bodenhamer.")</f>
        <v>The U.S. Constitution : a very short introduction / David J. Bodenhamer.</v>
      </c>
      <c r="B123" s="26" t="str">
        <f ca="1">IFERROR(__xludf.DUMMYFUNCTION("""COMPUTED_VALUE"""),"Bodenhamer, David J.")</f>
        <v>Bodenhamer, David J.</v>
      </c>
      <c r="C123" s="26" t="str">
        <f ca="1">IFERROR(__xludf.DUMMYFUNCTION("""COMPUTED_VALUE"""),"")</f>
        <v/>
      </c>
      <c r="D123" s="27" t="str">
        <f ca="1">IFERROR(__xludf.DUMMYFUNCTION("""COMPUTED_VALUE"""),"Oxford : Oxford University Press, 2018.")</f>
        <v>Oxford : Oxford University Press, 2018.</v>
      </c>
      <c r="E123" s="26" t="str">
        <f ca="1">IFERROR(__xludf.DUMMYFUNCTION("""COMPUTED_VALUE"""),"342.4(73) BodD u 2018")</f>
        <v>342.4(73) BodD u 2018</v>
      </c>
      <c r="F123" s="28" t="str">
        <f ca="1">IFERROR(__xludf.DUMMYFUNCTION("""COMPUTED_VALUE"""),"Αίθουσα Δημοσίου Δικαίου")</f>
        <v>Αίθουσα Δημοσίου Δικαίου</v>
      </c>
    </row>
    <row r="124" spans="1:6" ht="38.25" customHeight="1" x14ac:dyDescent="0.3">
      <c r="A124" s="25" t="str">
        <f ca="1">IFERROR(__xludf.DUMMYFUNCTION("""COMPUTED_VALUE"""),"The United Nations Convention on Contracts for the International Carriage of Goods Wholly or Partly by Sea :  an appraisal of the  Rotterdam Rules  /  Meltem Deniz Güner-Özbek, editor")</f>
        <v>The United Nations Convention on Contracts for the International Carriage of Goods Wholly or Partly by Sea :  an appraisal of the  Rotterdam Rules  /  Meltem Deniz Güner-Özbek, editor</v>
      </c>
      <c r="B124" s="26" t="str">
        <f ca="1">IFERROR(__xludf.DUMMYFUNCTION("""COMPUTED_VALUE"""),"")</f>
        <v/>
      </c>
      <c r="C124" s="26" t="str">
        <f ca="1">IFERROR(__xludf.DUMMYFUNCTION("""COMPUTED_VALUE"""),"")</f>
        <v/>
      </c>
      <c r="D124" s="27" t="str">
        <f ca="1">IFERROR(__xludf.DUMMYFUNCTION("""COMPUTED_VALUE"""),"Berlin    New York :  Springer,  2011")</f>
        <v>Berlin    New York :  Springer,  2011</v>
      </c>
      <c r="E124" s="26" t="str">
        <f ca="1">IFERROR(__xludf.DUMMYFUNCTION("""COMPUTED_VALUE"""),"347.795.3(063) UNC2010 2011")</f>
        <v>347.795.3(063) UNC2010 2011</v>
      </c>
      <c r="F124" s="28" t="str">
        <f ca="1">IFERROR(__xludf.DUMMYFUNCTION("""COMPUTED_VALUE"""),"Αίθουσα Διεθνούς Δικαίου και Εμπορικού Δικαίου")</f>
        <v>Αίθουσα Διεθνούς Δικαίου και Εμπορικού Δικαίου</v>
      </c>
    </row>
    <row r="125" spans="1:6" ht="38.25" customHeight="1" x14ac:dyDescent="0.3">
      <c r="A125" s="25" t="s">
        <v>2620</v>
      </c>
      <c r="B125" s="26" t="s">
        <v>2621</v>
      </c>
      <c r="C125" s="26" t="str">
        <f ca="1">IFERROR(__xludf.DUMMYFUNCTION("""COMPUTED_VALUE"""),"")</f>
        <v/>
      </c>
      <c r="D125" s="27" t="str">
        <f ca="1">IFERROR(__xludf.DUMMYFUNCTION("""COMPUTED_VALUE"""),"Oxford : Oxford University Press, 2011.")</f>
        <v>Oxford : Oxford University Press, 2011.</v>
      </c>
      <c r="E125" s="26" t="s">
        <v>2622</v>
      </c>
      <c r="F125" s="28" t="str">
        <f ca="1">IFERROR(__xludf.DUMMYFUNCTION("""COMPUTED_VALUE"""),"Αίθουσα Διεθνές Δικαίου και Εμπορικού Δικαίου")</f>
        <v>Αίθουσα Διεθνές Δικαίου και Εμπορικού Δικαίου</v>
      </c>
    </row>
    <row r="126" spans="1:6" ht="38.25" customHeight="1" x14ac:dyDescent="0.3">
      <c r="A126" s="25" t="str">
        <f ca="1">IFERROR(__xludf.DUMMYFUNCTION("""COMPUTED_VALUE"""),"Traite de droit international de la mer / sous la direction de Mathias Forteau, Jean-Marc Thouvenin   préface Tullio Treves.")</f>
        <v>Traite de droit international de la mer / sous la direction de Mathias Forteau, Jean-Marc Thouvenin   préface Tullio Treves.</v>
      </c>
      <c r="B126" s="26" t="str">
        <f ca="1">IFERROR(__xludf.DUMMYFUNCTION("""COMPUTED_VALUE"""),"")</f>
        <v/>
      </c>
      <c r="C126" s="26" t="str">
        <f ca="1">IFERROR(__xludf.DUMMYFUNCTION("""COMPUTED_VALUE"""),"")</f>
        <v/>
      </c>
      <c r="D126" s="27" t="str">
        <f ca="1">IFERROR(__xludf.DUMMYFUNCTION("""COMPUTED_VALUE"""),"Paris : A. Pedone, 2017")</f>
        <v>Paris : A. Pedone, 2017</v>
      </c>
      <c r="E126" s="26" t="str">
        <f ca="1">IFERROR(__xludf.DUMMYFUNCTION("""COMPUTED_VALUE"""),"341.221.2 ForM t 2017")</f>
        <v>341.221.2 ForM t 2017</v>
      </c>
      <c r="F126" s="28" t="str">
        <f ca="1">IFERROR(__xludf.DUMMYFUNCTION("""COMPUTED_VALUE"""),"Αίθουσα Διεθνές Δικαίου και Εμπορικού Δικαίου")</f>
        <v>Αίθουσα Διεθνές Δικαίου και Εμπορικού Δικαίου</v>
      </c>
    </row>
    <row r="127" spans="1:6" ht="38.25" customHeight="1" x14ac:dyDescent="0.3">
      <c r="A127" s="25" t="str">
        <f ca="1">IFERROR(__xludf.DUMMYFUNCTION("""COMPUTED_VALUE"""),"Tristes tropiques / par C. Levi-Straus.")</f>
        <v>Tristes tropiques / par C. Levi-Straus.</v>
      </c>
      <c r="B127" s="26" t="str">
        <f ca="1">IFERROR(__xludf.DUMMYFUNCTION("""COMPUTED_VALUE"""),"Lévi-Strauss, Claude, 1908-2009.")</f>
        <v>Lévi-Strauss, Claude, 1908-2009.</v>
      </c>
      <c r="C127" s="26" t="str">
        <f ca="1">IFERROR(__xludf.DUMMYFUNCTION("""COMPUTED_VALUE"""),"")</f>
        <v/>
      </c>
      <c r="D127" s="27" t="str">
        <f ca="1">IFERROR(__xludf.DUMMYFUNCTION("""COMPUTED_VALUE"""),"[Paris] : Plon, 1955.")</f>
        <v>[Paris] : Plon, 1955.</v>
      </c>
      <c r="E127" s="26" t="str">
        <f ca="1">IFERROR(__xludf.DUMMYFUNCTION("""COMPUTED_VALUE"""),"39:316.323.2(81) LevC t 1955")</f>
        <v>39:316.323.2(81) LevC t 1955</v>
      </c>
      <c r="F127" s="28" t="str">
        <f ca="1">IFERROR(__xludf.DUMMYFUNCTION("""COMPUTED_VALUE"""),"Αίθουσα Ιστρορίας, Θεωρίας και Φιλοσοφίας του Δικαίου")</f>
        <v>Αίθουσα Ιστρορίας, Θεωρίας και Φιλοσοφίας του Δικαίου</v>
      </c>
    </row>
    <row r="128" spans="1:6" ht="38.25" customHeight="1" x14ac:dyDescent="0.3">
      <c r="A128" s="25" t="str">
        <f ca="1">IFERROR(__xludf.DUMMYFUNCTION("""COMPUTED_VALUE"""),"Une introduction critique au droit international / Olivier Corten, François Dubuisson, Vaios Koutroulis, Anne Lagerwall.")</f>
        <v>Une introduction critique au droit international / Olivier Corten, François Dubuisson, Vaios Koutroulis, Anne Lagerwall.</v>
      </c>
      <c r="B128" s="26" t="str">
        <f ca="1">IFERROR(__xludf.DUMMYFUNCTION("""COMPUTED_VALUE"""),"Corten, Oliver.")</f>
        <v>Corten, Oliver.</v>
      </c>
      <c r="C128" s="26" t="str">
        <f ca="1">IFERROR(__xludf.DUMMYFUNCTION("""COMPUTED_VALUE"""),"")</f>
        <v/>
      </c>
      <c r="D128" s="27" t="str">
        <f ca="1">IFERROR(__xludf.DUMMYFUNCTION("""COMPUTED_VALUE"""),"Bruxelles : Universite de Bruxelles, c2017.")</f>
        <v>Bruxelles : Universite de Bruxelles, c2017.</v>
      </c>
      <c r="E128" s="26" t="str">
        <f ca="1">IFERROR(__xludf.DUMMYFUNCTION("""COMPUTED_VALUE"""),"341 CorO i 2017")</f>
        <v>341 CorO i 2017</v>
      </c>
      <c r="F128" s="28" t="str">
        <f ca="1">IFERROR(__xludf.DUMMYFUNCTION("""COMPUTED_VALUE"""),"Αίθουσα Διεθνές Δικαίου και Εμπορικού Δικαίου")</f>
        <v>Αίθουσα Διεθνές Δικαίου και Εμπορικού Δικαίου</v>
      </c>
    </row>
    <row r="129" spans="1:6" ht="38.25" customHeight="1" x14ac:dyDescent="0.3">
      <c r="A129" s="25" t="str">
        <f ca="1">IFERROR(__xludf.DUMMYFUNCTION("""COMPUTED_VALUE"""),"Vienna convention on the law of treaties : a commentary / Oliver Dörr, Kirsten Schmalenbach editors.")</f>
        <v>Vienna convention on the law of treaties : a commentary / Oliver Dörr, Kirsten Schmalenbach editors.</v>
      </c>
      <c r="B129" s="26" t="str">
        <f ca="1">IFERROR(__xludf.DUMMYFUNCTION("""COMPUTED_VALUE"""),"")</f>
        <v/>
      </c>
      <c r="C129" s="26" t="str">
        <f ca="1">IFERROR(__xludf.DUMMYFUNCTION("""COMPUTED_VALUE"""),"2nd ed.")</f>
        <v>2nd ed.</v>
      </c>
      <c r="D129" s="27" t="str">
        <f ca="1">IFERROR(__xludf.DUMMYFUNCTION("""COMPUTED_VALUE"""),"Berlin : Springer, c2018.")</f>
        <v>Berlin : Springer, c2018.</v>
      </c>
      <c r="E129" s="26" t="str">
        <f ca="1">IFERROR(__xludf.DUMMYFUNCTION("""COMPUTED_VALUE"""),"341.24 DorO v 2018")</f>
        <v>341.24 DorO v 2018</v>
      </c>
      <c r="F129" s="28" t="str">
        <f ca="1">IFERROR(__xludf.DUMMYFUNCTION("""COMPUTED_VALUE"""),"Αίθουσα Διεθνούς Δικαίου και Εμπορικού Δικαίου")</f>
        <v>Αίθουσα Διεθνούς Δικαίου και Εμπορικού Δικαίου</v>
      </c>
    </row>
    <row r="130" spans="1:6" ht="38.25" customHeight="1" x14ac:dyDescent="0.3">
      <c r="A130" s="25" t="str">
        <f ca="1">IFERROR(__xludf.DUMMYFUNCTION("""COMPUTED_VALUE"""),"Where our protection lies : separation of powers and constitutional review / Dimitrios Kyritsis.")</f>
        <v>Where our protection lies : separation of powers and constitutional review / Dimitrios Kyritsis.</v>
      </c>
      <c r="B130" s="26" t="str">
        <f ca="1">IFERROR(__xludf.DUMMYFUNCTION("""COMPUTED_VALUE"""),"Κυρίτσης, Δημήτριος, 1978-")</f>
        <v>Κυρίτσης, Δημήτριος, 1978-</v>
      </c>
      <c r="C130" s="26" t="str">
        <f ca="1">IFERROR(__xludf.DUMMYFUNCTION("""COMPUTED_VALUE"""),"")</f>
        <v/>
      </c>
      <c r="D130" s="27" t="str">
        <f ca="1">IFERROR(__xludf.DUMMYFUNCTION("""COMPUTED_VALUE"""),"New York, NY : Oxford University Press, 2017.")</f>
        <v>New York, NY : Oxford University Press, 2017.</v>
      </c>
      <c r="E130" s="26" t="str">
        <f ca="1">IFERROR(__xludf.DUMMYFUNCTION("""COMPUTED_VALUE"""),"342.33 ΚυρΔ w 2017")</f>
        <v>342.33 ΚυρΔ w 2017</v>
      </c>
      <c r="F130" s="28" t="str">
        <f ca="1">IFERROR(__xludf.DUMMYFUNCTION("""COMPUTED_VALUE"""),"Αίθουσα Δημοασίου Δικαίου")</f>
        <v>Αίθουσα Δημοασίου Δικαίου</v>
      </c>
    </row>
    <row r="131" spans="1:6" ht="38.25" customHeight="1" x14ac:dyDescent="0.3">
      <c r="A131" s="25" t="str">
        <f ca="1">IFERROR(__xludf.DUMMYFUNCTION("""COMPUTED_VALUE"""),"World politics since 1945. Ελληνικά;""Η διεθνής πολιτική μετά το 1945 / Peter Calvocoressi.""")</f>
        <v>World politics since 1945. Ελληνικά;"Η διεθνής πολιτική μετά το 1945 / Peter Calvocoressi."</v>
      </c>
      <c r="B131" s="26" t="str">
        <f ca="1">IFERROR(__xludf.DUMMYFUNCTION("""COMPUTED_VALUE"""),"Calvocoressi, Peter.")</f>
        <v>Calvocoressi, Peter.</v>
      </c>
      <c r="C131" s="26" t="str">
        <f ca="1">IFERROR(__xludf.DUMMYFUNCTION("""COMPUTED_VALUE"""),"")</f>
        <v/>
      </c>
      <c r="D131" s="27" t="str">
        <f ca="1">IFERROR(__xludf.DUMMYFUNCTION("""COMPUTED_VALUE"""),"Αθήνα : Τουρίκης, 2010.")</f>
        <v>Αθήνα : Τουρίκης, 2010.</v>
      </c>
      <c r="E131" s="26" t="s">
        <v>3173</v>
      </c>
      <c r="F131" s="28" t="str">
        <f ca="1">IFERROR(__xludf.DUMMYFUNCTION("""COMPUTED_VALUE"""),"Αίθουσα Ιστορίας, Θεωρίας και Φιλοσοφίας του Δικαίου")</f>
        <v>Αίθουσα Ιστορίας, Θεωρίας και Φιλοσοφίας του Δικαίου</v>
      </c>
    </row>
    <row r="132" spans="1:6" ht="38.25" customHeight="1" x14ac:dyDescent="0.3">
      <c r="A132" s="25" t="str">
        <f ca="1">IFERROR(__xludf.DUMMYFUNCTION("""COMPUTED_VALUE"""),"Αλλάζει αυτός ο κόσμος  : ισχυρή ενωμένη Ευρώπη, ευρωπαϊκή συνοχή και ευρωπαϊκή ενοποίηση / Προκόπιος Παυλόπουλος.")</f>
        <v>Αλλάζει αυτός ο κόσμος  : ισχυρή ενωμένη Ευρώπη, ευρωπαϊκή συνοχή και ευρωπαϊκή ενοποίηση / Προκόπιος Παυλόπουλος.</v>
      </c>
      <c r="B132" s="26" t="str">
        <f ca="1">IFERROR(__xludf.DUMMYFUNCTION("""COMPUTED_VALUE"""),"Παυλόπουλος, Προκόπης Β., 1950-")</f>
        <v>Παυλόπουλος, Προκόπης Β., 1950-</v>
      </c>
      <c r="C132" s="26" t="str">
        <f ca="1">IFERROR(__xludf.DUMMYFUNCTION("""COMPUTED_VALUE"""),"")</f>
        <v/>
      </c>
      <c r="D132" s="27" t="str">
        <f ca="1">IFERROR(__xludf.DUMMYFUNCTION("""COMPUTED_VALUE"""),"Αθήνα : Gutenberg, 2018.")</f>
        <v>Αθήνα : Gutenberg, 2018.</v>
      </c>
      <c r="E132" s="26" t="str">
        <f ca="1">IFERROR(__xludf.DUMMYFUNCTION("""COMPUTED_VALUE"""),"341.174(4-672EU) ΠαυΠ α 2018")</f>
        <v>341.174(4-672EU) ΠαυΠ α 2018</v>
      </c>
      <c r="F132" s="28" t="str">
        <f ca="1">IFERROR(__xludf.DUMMYFUNCTION("""COMPUTED_VALUE"""),"Αίθουσα Διεθνούς Δικαίου και Εμπορικού Δικαίου")</f>
        <v>Αίθουσα Διεθνούς Δικαίου και Εμπορικού Δικαίου</v>
      </c>
    </row>
    <row r="133" spans="1:6" ht="38.25" customHeight="1" x14ac:dyDescent="0.3">
      <c r="A133" s="25" t="str">
        <f ca="1">IFERROR(__xludf.DUMMYFUNCTION("""COMPUTED_VALUE"""),"Αστικός κώδικας και εισαγωγικός νόμος : μεταγλωττισμένος στη δημοτική.")</f>
        <v>Αστικός κώδικας και εισαγωγικός νόμος : μεταγλωττισμένος στη δημοτική.</v>
      </c>
      <c r="B133" s="26" t="str">
        <f ca="1">IFERROR(__xludf.DUMMYFUNCTION("""COMPUTED_VALUE"""),"Δερβέναγας, Αθανάσιος Α.")</f>
        <v>Δερβέναγας, Αθανάσιος Α.</v>
      </c>
      <c r="C133" s="26" t="str">
        <f ca="1">IFERROR(__xludf.DUMMYFUNCTION("""COMPUTED_VALUE"""),"")</f>
        <v/>
      </c>
      <c r="D133" s="27" t="str">
        <f ca="1">IFERROR(__xludf.DUMMYFUNCTION("""COMPUTED_VALUE"""),"Θεσσαλονίκη : Σάκκουλας, [198- ]")</f>
        <v>Θεσσαλονίκη : Σάκκουλας, [198- ]</v>
      </c>
      <c r="E133" s="26" t="str">
        <f ca="1">IFERROR(__xludf.DUMMYFUNCTION("""COMPUTED_VALUE"""),"347(495) ΚΩΔ ΔερΑ α [198- ]")</f>
        <v>347(495) ΚΩΔ ΔερΑ α [198- ]</v>
      </c>
      <c r="F133" s="28" t="str">
        <f ca="1">IFERROR(__xludf.DUMMYFUNCTION("""COMPUTED_VALUE"""),"Αίθουσα Αστικού και Αστικού Δικονομικού Δικαίου")</f>
        <v>Αίθουσα Αστικού και Αστικού Δικονομικού Δικαίου</v>
      </c>
    </row>
    <row r="134" spans="1:6" ht="38.25" customHeight="1" x14ac:dyDescent="0.3">
      <c r="A134" s="25" t="str">
        <f ca="1">IFERROR(__xludf.DUMMYFUNCTION("""COMPUTED_VALUE"""),"Άυλη πολιτιστική κληρονομιά - συγκριτική μελέτη δικαίων / Αντωνία Κορκά   Εθνικό και Καποδιστριακό Πανεπιστήμιο Αθηνών. Νομική Σχολή.")</f>
        <v>Άυλη πολιτιστική κληρονομιά - συγκριτική μελέτη δικαίων / Αντωνία Κορκά   Εθνικό και Καποδιστριακό Πανεπιστήμιο Αθηνών. Νομική Σχολή.</v>
      </c>
      <c r="B134" s="26" t="str">
        <f ca="1">IFERROR(__xludf.DUMMYFUNCTION("""COMPUTED_VALUE"""),"Κορκά, Αντωνία.")</f>
        <v>Κορκά, Αντωνία.</v>
      </c>
      <c r="C134" s="26" t="str">
        <f ca="1">IFERROR(__xludf.DUMMYFUNCTION("""COMPUTED_VALUE"""),"")</f>
        <v/>
      </c>
      <c r="D134" s="27" t="str">
        <f ca="1">IFERROR(__xludf.DUMMYFUNCTION("""COMPUTED_VALUE"""),"[Αθήνα] : [χ.ό.], 2019.")</f>
        <v>[Αθήνα] : [χ.ό.], 2019.</v>
      </c>
      <c r="E134" s="26" t="str">
        <f ca="1">IFERROR(__xludf.DUMMYFUNCTION("""COMPUTED_VALUE"""),"34(043.5) ΚορΑ α 2019")</f>
        <v>34(043.5) ΚορΑ α 2019</v>
      </c>
      <c r="F134" s="28" t="str">
        <f ca="1">IFERROR(__xludf.DUMMYFUNCTION("""COMPUTED_VALUE"""),"Αίθουσα διδακτορικών διατριβών 1ος όροφος")</f>
        <v>Αίθουσα διδακτορικών διατριβών 1ος όροφος</v>
      </c>
    </row>
    <row r="135" spans="1:6" ht="70.5" customHeight="1" x14ac:dyDescent="0.3">
      <c r="A135" s="25" t="str">
        <f ca="1">IFERROR(__xludf.DUMMYFUNCTION("""COMPUTED_VALUE"""),"Γενικό μέρος - Βιομηχανική ιδιοκτησία -Πνευματική Ιδιοκτησία - Αξιόγραφα - Αθέμιτος αναταγωνισμός / Λία Αθανασίου, Γεώργιος Σωτηρόπουλος.")</f>
        <v>Γενικό μέρος - Βιομηχανική ιδιοκτησία -Πνευματική Ιδιοκτησία - Αξιόγραφα - Αθέμιτος αναταγωνισμός / Λία Αθανασίου, Γεώργιος Σωτηρόπουλος.</v>
      </c>
      <c r="B135" s="26" t="str">
        <f ca="1">IFERROR(__xludf.DUMMYFUNCTION("""COMPUTED_VALUE"""),"")</f>
        <v/>
      </c>
      <c r="C135" s="26" t="str">
        <f ca="1">IFERROR(__xludf.DUMMYFUNCTION("""COMPUTED_VALUE"""),"6η έκδ.")</f>
        <v>6η έκδ.</v>
      </c>
      <c r="D135" s="27" t="str">
        <f ca="1">IFERROR(__xludf.DUMMYFUNCTION("""COMPUTED_VALUE"""),"Αθήνα : Νομική Βιβλιοθήκη, 2019.")</f>
        <v>Αθήνα : Νομική Βιβλιοθήκη, 2019.</v>
      </c>
      <c r="E135" s="26" t="str">
        <f ca="1">IFERROR(__xludf.DUMMYFUNCTION("""COMPUTED_VALUE"""),"347.7(495) ΚΩΔ ΓΜ  2019")</f>
        <v>347.7(495) ΚΩΔ ΓΜ  2019</v>
      </c>
      <c r="F135" s="28" t="str">
        <f ca="1">IFERROR(__xludf.DUMMYFUNCTION("""COMPUTED_VALUE"""),"Αίθουσα Διεθνούς Δικαίου και Εμπορικού Δικαίου")</f>
        <v>Αίθουσα Διεθνούς Δικαίου και Εμπορικού Δικαίου</v>
      </c>
    </row>
    <row r="136" spans="1:6" ht="66.75" customHeight="1" x14ac:dyDescent="0.3">
      <c r="A136" s="25" t="str">
        <f ca="1">IFERROR(__xludf.DUMMYFUNCTION("""COMPUTED_VALUE"""),"Εγγυήσεις «δίκαιης δίκης» και δικαιώματα κατηγορουμένου στην «ποινική δικονομία» του 1834 : επισκόπηση της ποινικής νομολογίας του Αρείου Πάγου των ετών 1835-1855 / 'Αννα Μπενάκη-Ψαρούδα   με τη συνεργασία της Βασιλικής Τζαλαβρά.")</f>
        <v>Εγγυήσεις «δίκαιης δίκης» και δικαιώματα κατηγορουμένου στην «ποινική δικονομία» του 1834 : επισκόπηση της ποινικής νομολογίας του Αρείου Πάγου των ετών 1835-1855 / 'Αννα Μπενάκη-Ψαρούδα   με τη συνεργασία της Βασιλικής Τζαλαβρά.</v>
      </c>
      <c r="B136" s="26" t="str">
        <f ca="1">IFERROR(__xludf.DUMMYFUNCTION("""COMPUTED_VALUE"""),"Ψαρούδα-Μπενάκη, Άννα, 1934-")</f>
        <v>Ψαρούδα-Μπενάκη, Άννα, 1934-</v>
      </c>
      <c r="C136" s="26" t="str">
        <f ca="1">IFERROR(__xludf.DUMMYFUNCTION("""COMPUTED_VALUE"""),"")</f>
        <v/>
      </c>
      <c r="D136" s="27" t="str">
        <f ca="1">IFERROR(__xludf.DUMMYFUNCTION("""COMPUTED_VALUE"""),"Αθήνα : Ακαδημία Αθηνών, 2019.")</f>
        <v>Αθήνα : Ακαδημία Αθηνών, 2019.</v>
      </c>
      <c r="E136" s="26" t="str">
        <f ca="1">IFERROR(__xludf.DUMMYFUNCTION("""COMPUTED_VALUE"""),"343(091) ΨαρΑ ε 2019")</f>
        <v>343(091) ΨαρΑ ε 2019</v>
      </c>
      <c r="F136" s="28" t="str">
        <f ca="1">IFERROR(__xludf.DUMMYFUNCTION("""COMPUTED_VALUE"""),"Αίθουσα Ποινικού Δικαίου και Εργατικού Δικαίου")</f>
        <v>Αίθουσα Ποινικού Δικαίου και Εργατικού Δικαίου</v>
      </c>
    </row>
    <row r="137" spans="1:6" ht="38.25" customHeight="1" x14ac:dyDescent="0.3">
      <c r="A137" s="25" t="str">
        <f ca="1">IFERROR(__xludf.DUMMYFUNCTION("""COMPUTED_VALUE"""),"Εγχειρίδιο διοικητικού δικαίου : εισαγωγή-θεμελιώδεις έννοιες / Ανδρομάχη Γ. Μαρκαντωνάτου-Σκαλτσά")</f>
        <v>Εγχειρίδιο διοικητικού δικαίου : εισαγωγή-θεμελιώδεις έννοιες / Ανδρομάχη Γ. Μαρκαντωνάτου-Σκαλτσά</v>
      </c>
      <c r="B137" s="26" t="str">
        <f ca="1">IFERROR(__xludf.DUMMYFUNCTION("""COMPUTED_VALUE"""),"Μαρκαντωνάτου-Σκάλτσα, Ανδρομάχη")</f>
        <v>Μαρκαντωνάτου-Σκάλτσα, Ανδρομάχη</v>
      </c>
      <c r="C137" s="26" t="str">
        <f ca="1">IFERROR(__xludf.DUMMYFUNCTION("""COMPUTED_VALUE"""),"3η έκδ.")</f>
        <v>3η έκδ.</v>
      </c>
      <c r="D137" s="27" t="str">
        <f ca="1">IFERROR(__xludf.DUMMYFUNCTION("""COMPUTED_VALUE"""),"Αθήνα : Εκδόσεις Σάκκουλα, 2016.")</f>
        <v>Αθήνα : Εκδόσεις Σάκκουλα, 2016.</v>
      </c>
      <c r="E137" s="26" t="str">
        <f ca="1">IFERROR(__xludf.DUMMYFUNCTION("""COMPUTED_VALUE"""),"342.9(495) ΜαρΑ ε 2016")</f>
        <v>342.9(495) ΜαρΑ ε 2016</v>
      </c>
      <c r="F137" s="28" t="str">
        <f ca="1">IFERROR(__xludf.DUMMYFUNCTION("""COMPUTED_VALUE"""),"Αίθουσα Δημοσίου Δικαίου")</f>
        <v>Αίθουσα Δημοσίου Δικαίου</v>
      </c>
    </row>
    <row r="138" spans="1:6" ht="38.25" customHeight="1" x14ac:dyDescent="0.3">
      <c r="A138" s="25" t="str">
        <f ca="1">IFERROR(__xludf.DUMMYFUNCTION("""COMPUTED_VALUE"""),"Εισαγωγή στη φιλοσοφία / Νίκος Αυγελής.")</f>
        <v>Εισαγωγή στη φιλοσοφία / Νίκος Αυγελής.</v>
      </c>
      <c r="B138" s="26" t="str">
        <f ca="1">IFERROR(__xludf.DUMMYFUNCTION("""COMPUTED_VALUE"""),"Αυγελής, Νίκος.")</f>
        <v>Αυγελής, Νίκος.</v>
      </c>
      <c r="C138" s="26" t="str">
        <f ca="1">IFERROR(__xludf.DUMMYFUNCTION("""COMPUTED_VALUE"""),"6η έκδ. βελτιωμένη και επαυξημένη")</f>
        <v>6η έκδ. βελτιωμένη και επαυξημένη</v>
      </c>
      <c r="D138" s="27" t="str">
        <f ca="1">IFERROR(__xludf.DUMMYFUNCTION("""COMPUTED_VALUE"""),"Θεσσαλονίκη : Αντ. Σταμούλη, 2012.")</f>
        <v>Θεσσαλονίκη : Αντ. Σταμούλη, 2012.</v>
      </c>
      <c r="E138" s="26" t="str">
        <f ca="1">IFERROR(__xludf.DUMMYFUNCTION("""COMPUTED_VALUE"""),"101 ΑυγΝ ε 2012")</f>
        <v>101 ΑυγΝ ε 2012</v>
      </c>
      <c r="F138" s="28" t="str">
        <f ca="1">IFERROR(__xludf.DUMMYFUNCTION("""COMPUTED_VALUE"""),"Αίθουσα Ιστορίας, Θεωρίας και Φιλοσοφίας του Δικαίου")</f>
        <v>Αίθουσα Ιστορίας, Θεωρίας και Φιλοσοφίας του Δικαίου</v>
      </c>
    </row>
    <row r="139" spans="1:6" ht="38.25" customHeight="1" x14ac:dyDescent="0.3">
      <c r="A139" s="25" t="str">
        <f ca="1">IFERROR(__xludf.DUMMYFUNCTION("""COMPUTED_VALUE"""),"Εισαγωγή στην ιστορία του μεταπολεμικού κόσμου / Ευάνθης Χατζηβασιλείου.")</f>
        <v>Εισαγωγή στην ιστορία του μεταπολεμικού κόσμου / Ευάνθης Χατζηβασιλείου.</v>
      </c>
      <c r="B139" s="26" t="str">
        <f ca="1">IFERROR(__xludf.DUMMYFUNCTION("""COMPUTED_VALUE"""),"Χατζηβασιλείου, Ευάνθης, 1966-")</f>
        <v>Χατζηβασιλείου, Ευάνθης, 1966-</v>
      </c>
      <c r="C139" s="26" t="str">
        <f ca="1">IFERROR(__xludf.DUMMYFUNCTION("""COMPUTED_VALUE"""),"")</f>
        <v/>
      </c>
      <c r="D139" s="27" t="str">
        <f ca="1">IFERROR(__xludf.DUMMYFUNCTION("""COMPUTED_VALUE"""),"Αθήνα : Πατάκης, 2001.")</f>
        <v>Αθήνα : Πατάκης, 2001.</v>
      </c>
      <c r="E139" s="26" t="str">
        <f ca="1">IFERROR(__xludf.DUMMYFUNCTION("""COMPUTED_VALUE"""),"94(100) 1945/...  ΧατΕ ε 2001")</f>
        <v>94(100) 1945/...  ΧατΕ ε 2001</v>
      </c>
      <c r="F139" s="28" t="str">
        <f ca="1">IFERROR(__xludf.DUMMYFUNCTION("""COMPUTED_VALUE"""),"Αίθουσα Ιστορίας, Θεωρίας και Φιλοσοφίας του Δικαίου")</f>
        <v>Αίθουσα Ιστορίας, Θεωρίας και Φιλοσοφίας του Δικαίου</v>
      </c>
    </row>
    <row r="140" spans="1:6" ht="38.25" customHeight="1" x14ac:dyDescent="0.3">
      <c r="A140" s="25" t="str">
        <f ca="1">IFERROR(__xludf.DUMMYFUNCTION("""COMPUTED_VALUE"""),"Εισαγωγή στο ιδιωτικό ναυτικό δίκαιο.;""Ναυτικό δίκαιο / Ιωάννης Κ. Ρόκας")</f>
        <v>Εισαγωγή στο ιδιωτικό ναυτικό δίκαιο.;"Ναυτικό δίκαιο / Ιωάννης Κ. Ρόκας</v>
      </c>
      <c r="B140" s="26" t="str">
        <f ca="1">IFERROR(__xludf.DUMMYFUNCTION("""COMPUTED_VALUE"""),"Γεώργιος Δ. Θεοχαρίδης.""")</f>
        <v>Γεώργιος Δ. Θεοχαρίδης."</v>
      </c>
      <c r="C140" s="26" t="str">
        <f ca="1">IFERROR(__xludf.DUMMYFUNCTION("""COMPUTED_VALUE"""),"3η έκδ.")</f>
        <v>3η έκδ.</v>
      </c>
      <c r="D140" s="27" t="str">
        <f ca="1">IFERROR(__xludf.DUMMYFUNCTION("""COMPUTED_VALUE"""),"Αθήνα : Εκδόσεις Σάκκουλα, 2015.")</f>
        <v>Αθήνα : Εκδόσεις Σάκκουλα, 2015.</v>
      </c>
      <c r="E140" s="26" t="str">
        <f ca="1">IFERROR(__xludf.DUMMYFUNCTION("""COMPUTED_VALUE"""),"347.79(495) ΡοκΙ ε 2015")</f>
        <v>347.79(495) ΡοκΙ ε 2015</v>
      </c>
      <c r="F140" s="28" t="str">
        <f ca="1">IFERROR(__xludf.DUMMYFUNCTION("""COMPUTED_VALUE"""),"Αίθουσα Διεθνούς δικαίου και Εμπορικού δικαίου")</f>
        <v>Αίθουσα Διεθνούς δικαίου και Εμπορικού δικαίου</v>
      </c>
    </row>
    <row r="141" spans="1:6" ht="38.25" customHeight="1" x14ac:dyDescent="0.3">
      <c r="A141" s="25" t="str">
        <f ca="1">IFERROR(__xludf.DUMMYFUNCTION("""COMPUTED_VALUE"""),"Ένας εχθρός της αντιπροσωπευτικής δημοκρατίας: η επικυριαρχία του οικονομικού επί του  θεσμικού  / Προκόπιος Παυλόπουλος.")</f>
        <v>Ένας εχθρός της αντιπροσωπευτικής δημοκρατίας: η επικυριαρχία του οικονομικού επί του  θεσμικού  / Προκόπιος Παυλόπουλος.</v>
      </c>
      <c r="B141" s="26" t="str">
        <f ca="1">IFERROR(__xludf.DUMMYFUNCTION("""COMPUTED_VALUE"""),"Παυλόπουλος, Προκόπης Β., 1950-")</f>
        <v>Παυλόπουλος, Προκόπης Β., 1950-</v>
      </c>
      <c r="C141" s="26" t="str">
        <f ca="1">IFERROR(__xludf.DUMMYFUNCTION("""COMPUTED_VALUE"""),"")</f>
        <v/>
      </c>
      <c r="D141" s="27" t="str">
        <f ca="1">IFERROR(__xludf.DUMMYFUNCTION("""COMPUTED_VALUE"""),"Αθήνα : Εκδόσεις Gutenberg, 2018")</f>
        <v>Αθήνα : Εκδόσεις Gutenberg, 2018</v>
      </c>
      <c r="E141" s="26" t="str">
        <f ca="1">IFERROR(__xludf.DUMMYFUNCTION("""COMPUTED_VALUE"""),"340.13 ΠαυΠ ε 2018")</f>
        <v>340.13 ΠαυΠ ε 2018</v>
      </c>
      <c r="F141" s="28" t="str">
        <f ca="1">IFERROR(__xludf.DUMMYFUNCTION("""COMPUTED_VALUE"""),"Αίθουσα Ιστορίας, Θεωρίας και Φιλοσοφίας του Δικαίου")</f>
        <v>Αίθουσα Ιστορίας, Θεωρίας και Φιλοσοφίας του Δικαίου</v>
      </c>
    </row>
    <row r="142" spans="1:6" ht="38.25" customHeight="1" x14ac:dyDescent="0.3">
      <c r="A142" s="25" t="str">
        <f ca="1">IFERROR(__xludf.DUMMYFUNCTION("""COMPUTED_VALUE"""),"Εργατική νομοθεσία : (νομοθεσία, ερμηνεία, νομολογία) / Ευάγγελου Σπ. Δημητρακόπουλου.")</f>
        <v>Εργατική νομοθεσία : (νομοθεσία, ερμηνεία, νομολογία) / Ευάγγελου Σπ. Δημητρακόπουλου.</v>
      </c>
      <c r="B142" s="26" t="str">
        <f ca="1">IFERROR(__xludf.DUMMYFUNCTION("""COMPUTED_VALUE"""),"Δημητρακόπουλος, Ευάγγελος Σπ.")</f>
        <v>Δημητρακόπουλος, Ευάγγελος Σπ.</v>
      </c>
      <c r="C142" s="26" t="str">
        <f ca="1">IFERROR(__xludf.DUMMYFUNCTION("""COMPUTED_VALUE"""),"2η έκδ.")</f>
        <v>2η έκδ.</v>
      </c>
      <c r="D142" s="27" t="str">
        <f ca="1">IFERROR(__xludf.DUMMYFUNCTION("""COMPUTED_VALUE"""),"Αθήναι : Έκδοσις  Δελτίου Εργατικής Νομοθεσίας , 1962.")</f>
        <v>Αθήναι : Έκδοσις  Δελτίου Εργατικής Νομοθεσίας , 1962.</v>
      </c>
      <c r="E142" s="26" t="str">
        <f ca="1">IFERROR(__xludf.DUMMYFUNCTION("""COMPUTED_VALUE"""),"349.2(495)(094.5) ΔημΕ ε 1962")</f>
        <v>349.2(495)(094.5) ΔημΕ ε 1962</v>
      </c>
      <c r="F142" s="28" t="str">
        <f ca="1">IFERROR(__xludf.DUMMYFUNCTION("""COMPUTED_VALUE"""),"Αίθουσα Ποινικού Δικαίου και Εργατικού Δικαίου")</f>
        <v>Αίθουσα Ποινικού Δικαίου και Εργατικού Δικαίου</v>
      </c>
    </row>
    <row r="143" spans="1:6" ht="38.25" customHeight="1" x14ac:dyDescent="0.3">
      <c r="A143" s="25" t="str">
        <f ca="1">IFERROR(__xludf.DUMMYFUNCTION("""COMPUTED_VALUE"""),"Εργατικό δίκαιο / Μιλτιάδη Κ. Λεοντάρη.")</f>
        <v>Εργατικό δίκαιο / Μιλτιάδη Κ. Λεοντάρη.</v>
      </c>
      <c r="B143" s="26" t="str">
        <f ca="1">IFERROR(__xludf.DUMMYFUNCTION("""COMPUTED_VALUE"""),"Λεοντάρης, Μιλτιάδης Κ.")</f>
        <v>Λεοντάρης, Μιλτιάδης Κ.</v>
      </c>
      <c r="C143" s="26" t="str">
        <f ca="1">IFERROR(__xludf.DUMMYFUNCTION("""COMPUTED_VALUE"""),"16η έκδ.")</f>
        <v>16η έκδ.</v>
      </c>
      <c r="D143" s="27" t="str">
        <f ca="1">IFERROR(__xludf.DUMMYFUNCTION("""COMPUTED_VALUE"""),"Αθήνα : Πάμισος, 2007-")</f>
        <v>Αθήνα : Πάμισος, 2007-</v>
      </c>
      <c r="E143" s="26" t="str">
        <f ca="1">IFERROR(__xludf.DUMMYFUNCTION("""COMPUTED_VALUE"""),"349.2(495) ΛεοΜ ε 2007 1")</f>
        <v>349.2(495) ΛεοΜ ε 2007 1</v>
      </c>
      <c r="F143" s="28" t="str">
        <f ca="1">IFERROR(__xludf.DUMMYFUNCTION("""COMPUTED_VALUE"""),"Αίθουσα Ποινικού Δικαίου και Εργατικού Δικαίου")</f>
        <v>Αίθουσα Ποινικού Δικαίου και Εργατικού Δικαίου</v>
      </c>
    </row>
    <row r="144" spans="1:6" ht="38.25" customHeight="1" x14ac:dyDescent="0.3">
      <c r="A144" s="25" t="str">
        <f ca="1">IFERROR(__xludf.DUMMYFUNCTION("""COMPUTED_VALUE"""),"Εργατικό δίκαιο / Παπαδημητρίου Γ. Δημήτριος.")</f>
        <v>Εργατικό δίκαιο / Παπαδημητρίου Γ. Δημήτριος.</v>
      </c>
      <c r="B144" s="26" t="str">
        <f ca="1">IFERROR(__xludf.DUMMYFUNCTION("""COMPUTED_VALUE"""),"Παπαδημητρίου, Δημήτριος Γ.")</f>
        <v>Παπαδημητρίου, Δημήτριος Γ.</v>
      </c>
      <c r="C144" s="26" t="str">
        <f ca="1">IFERROR(__xludf.DUMMYFUNCTION("""COMPUTED_VALUE"""),"2η έκδ. συμπληρωμένη και βελτιωμένη.")</f>
        <v>2η έκδ. συμπληρωμένη και βελτιωμένη.</v>
      </c>
      <c r="D144" s="27" t="str">
        <f ca="1">IFERROR(__xludf.DUMMYFUNCTION("""COMPUTED_VALUE"""),"Αθήνα : [χ. ό.], 1994.")</f>
        <v>Αθήνα : [χ. ό.], 1994.</v>
      </c>
      <c r="E144" s="26" t="str">
        <f ca="1">IFERROR(__xludf.DUMMYFUNCTION("""COMPUTED_VALUE"""),"349.2(495) ΠαπΔ ε 1994")</f>
        <v>349.2(495) ΠαπΔ ε 1994</v>
      </c>
      <c r="F144" s="28" t="str">
        <f ca="1">IFERROR(__xludf.DUMMYFUNCTION("""COMPUTED_VALUE"""),"Αίθουσα Ποινικού Δικαίου και Εργατικού Δικαίου")</f>
        <v>Αίθουσα Ποινικού Δικαίου και Εργατικού Δικαίου</v>
      </c>
    </row>
    <row r="145" spans="1:6" ht="38.25" customHeight="1" x14ac:dyDescent="0.3">
      <c r="A145" s="25" t="str">
        <f ca="1">IFERROR(__xludf.DUMMYFUNCTION("""COMPUTED_VALUE"""),"Ερμηνεία εργατικού δικαίου / Σταύρος Σταυρόπουλος.")</f>
        <v>Ερμηνεία εργατικού δικαίου / Σταύρος Σταυρόπουλος.</v>
      </c>
      <c r="B145" s="26" t="str">
        <f ca="1">IFERROR(__xludf.DUMMYFUNCTION("""COMPUTED_VALUE"""),"Σταυρόπουλος, Σταύρος Ι.")</f>
        <v>Σταυρόπουλος, Σταύρος Ι.</v>
      </c>
      <c r="C145" s="26" t="str">
        <f ca="1">IFERROR(__xludf.DUMMYFUNCTION("""COMPUTED_VALUE"""),"")</f>
        <v/>
      </c>
      <c r="D145" s="27" t="str">
        <f ca="1">IFERROR(__xludf.DUMMYFUNCTION("""COMPUTED_VALUE"""),"Αθήνα : Νομική Βιβλιοθήκη, 1993.")</f>
        <v>Αθήνα : Νομική Βιβλιοθήκη, 1993.</v>
      </c>
      <c r="E145" s="26" t="str">
        <f ca="1">IFERROR(__xludf.DUMMYFUNCTION("""COMPUTED_VALUE"""),"349.2(495) ΣταΣ ε 1993")</f>
        <v>349.2(495) ΣταΣ ε 1993</v>
      </c>
      <c r="F145" s="28" t="str">
        <f ca="1">IFERROR(__xludf.DUMMYFUNCTION("""COMPUTED_VALUE"""),"Αίθουσα Ποινικού Δικαίου και Εργατικού Δικαίου")</f>
        <v>Αίθουσα Ποινικού Δικαίου και Εργατικού Δικαίου</v>
      </c>
    </row>
    <row r="146" spans="1:6" ht="38.25" customHeight="1" x14ac:dyDescent="0.3">
      <c r="A146" s="25" t="str">
        <f ca="1">IFERROR(__xludf.DUMMYFUNCTION("""COMPUTED_VALUE"""),"Ευρωπαϊκές πολιτικές από και προς την προστασία των θεμελιωδών δικαιωμάτων / επιμέλεια Νάσκου-Περράκη Παρασκευή, Γαϊτενίδης Νικόλαος, Κατσούλης Στέφανος.")</f>
        <v>Ευρωπαϊκές πολιτικές από και προς την προστασία των θεμελιωδών δικαιωμάτων / επιμέλεια Νάσκου-Περράκη Παρασκευή, Γαϊτενίδης Νικόλαος, Κατσούλης Στέφανος.</v>
      </c>
      <c r="B146" s="26" t="str">
        <f ca="1">IFERROR(__xludf.DUMMYFUNCTION("""COMPUTED_VALUE"""),"")</f>
        <v/>
      </c>
      <c r="C146" s="26" t="str">
        <f ca="1">IFERROR(__xludf.DUMMYFUNCTION("""COMPUTED_VALUE"""),"")</f>
        <v/>
      </c>
      <c r="D146" s="27" t="str">
        <f ca="1">IFERROR(__xludf.DUMMYFUNCTION("""COMPUTED_VALUE"""),"Αθήνα   Θεσσαλονίκη : Σάκκουλας, 2018.")</f>
        <v>Αθήνα   Θεσσαλονίκη : Σάκκουλας, 2018.</v>
      </c>
      <c r="E146" s="26" t="str">
        <f ca="1">IFERROR(__xludf.DUMMYFUNCTION("""COMPUTED_VALUE"""),"341.231.14(4-672EU) ΝασΠ ε 2018")</f>
        <v>341.231.14(4-672EU) ΝασΠ ε 2018</v>
      </c>
      <c r="F146" s="28" t="str">
        <f ca="1">IFERROR(__xludf.DUMMYFUNCTION("""COMPUTED_VALUE"""),"Αίθουσα Διεθνούς Δικαίου και Εμπορικού Δικαίου")</f>
        <v>Αίθουσα Διεθνούς Δικαίου και Εμπορικού Δικαίου</v>
      </c>
    </row>
    <row r="147" spans="1:6" ht="38.25" customHeight="1" x14ac:dyDescent="0.3">
      <c r="A147" s="25" t="str">
        <f ca="1">IFERROR(__xludf.DUMMYFUNCTION("""COMPUTED_VALUE"""),"Έφεση και αναψηλάφηση : θεωρία-νομολογία-πράξη / Βασ. Κ. Μπρακατσούλα   με τη βοήθεια της Μαρίας Βασ. Μπρακατσούλα.")</f>
        <v>Έφεση και αναψηλάφηση : θεωρία-νομολογία-πράξη / Βασ. Κ. Μπρακατσούλα   με τη βοήθεια της Μαρίας Βασ. Μπρακατσούλα.</v>
      </c>
      <c r="B147" s="26" t="str">
        <f ca="1">IFERROR(__xludf.DUMMYFUNCTION("""COMPUTED_VALUE"""),"Μπρακατσούλας, Βασίλειος Κων.")</f>
        <v>Μπρακατσούλας, Βασίλειος Κων.</v>
      </c>
      <c r="C147" s="26" t="str">
        <f ca="1">IFERROR(__xludf.DUMMYFUNCTION("""COMPUTED_VALUE"""),"")</f>
        <v/>
      </c>
      <c r="D147" s="27" t="str">
        <f ca="1">IFERROR(__xludf.DUMMYFUNCTION("""COMPUTED_VALUE"""),"Αθήνα : Σάκκουλας, 1991.")</f>
        <v>Αθήνα : Σάκκουλας, 1991.</v>
      </c>
      <c r="E147" s="26" t="str">
        <f ca="1">IFERROR(__xludf.DUMMYFUNCTION("""COMPUTED_VALUE"""),"347.955 ΜπρΒ ε 1991")</f>
        <v>347.955 ΜπρΒ ε 1991</v>
      </c>
      <c r="F147" s="28" t="str">
        <f ca="1">IFERROR(__xludf.DUMMYFUNCTION("""COMPUTED_VALUE"""),"Αίθουσα Αστικού και Αστικού Δικονομικού Δικαίου")</f>
        <v>Αίθουσα Αστικού και Αστικού Δικονομικού Δικαίου</v>
      </c>
    </row>
    <row r="148" spans="1:6" ht="38.25" customHeight="1" x14ac:dyDescent="0.3">
      <c r="A148" s="25" t="str">
        <f ca="1">IFERROR(__xludf.DUMMYFUNCTION("""COMPUTED_VALUE"""),"Ζητήματα διαλεκτικής : μια φιλοσοφική θεώρηση / Σωκράτης Χ. Δεληβογιατζής.")</f>
        <v>Ζητήματα διαλεκτικής : μια φιλοσοφική θεώρηση / Σωκράτης Χ. Δεληβογιατζής.</v>
      </c>
      <c r="B148" s="26" t="str">
        <f ca="1">IFERROR(__xludf.DUMMYFUNCTION("""COMPUTED_VALUE"""),"Δεληβογιατζής, Σωκράτης Χ.")</f>
        <v>Δεληβογιατζής, Σωκράτης Χ.</v>
      </c>
      <c r="C148" s="26" t="str">
        <f ca="1">IFERROR(__xludf.DUMMYFUNCTION("""COMPUTED_VALUE"""),"4η έκδ. επαυξ.")</f>
        <v>4η έκδ. επαυξ.</v>
      </c>
      <c r="D148" s="27" t="str">
        <f ca="1">IFERROR(__xludf.DUMMYFUNCTION("""COMPUTED_VALUE"""),"Θεσσαλονίκη : Εκδόσεις Ερωδιός, 2010")</f>
        <v>Θεσσαλονίκη : Εκδόσεις Ερωδιός, 2010</v>
      </c>
      <c r="E148" s="26" t="str">
        <f ca="1">IFERROR(__xludf.DUMMYFUNCTION("""COMPUTED_VALUE"""),"162.6 ΔελΣ ζ 2010")</f>
        <v>162.6 ΔελΣ ζ 2010</v>
      </c>
      <c r="F148" s="28" t="str">
        <f ca="1">IFERROR(__xludf.DUMMYFUNCTION("""COMPUTED_VALUE"""),"Αίθουσα Ιστορίας, Θεωρίας και Φιλοσοφίας του Δικαίου")</f>
        <v>Αίθουσα Ιστορίας, Θεωρίας και Φιλοσοφίας του Δικαίου</v>
      </c>
    </row>
    <row r="149" spans="1:6" ht="38.25" customHeight="1" x14ac:dyDescent="0.3">
      <c r="A149" s="25" t="str">
        <f ca="1">IFERROR(__xludf.DUMMYFUNCTION("""COMPUTED_VALUE"""),"Η αναίρεση : κατά τον κώδικα πολιτικής δικονομίας / Λάμπρου Δ. Σινανιώτη.")</f>
        <v>Η αναίρεση : κατά τον κώδικα πολιτικής δικονομίας / Λάμπρου Δ. Σινανιώτη.</v>
      </c>
      <c r="B149" s="26" t="str">
        <f ca="1">IFERROR(__xludf.DUMMYFUNCTION("""COMPUTED_VALUE"""),"Σινανιώτης, Λάμπρος Δ.")</f>
        <v>Σινανιώτης, Λάμπρος Δ.</v>
      </c>
      <c r="C149" s="26" t="str">
        <f ca="1">IFERROR(__xludf.DUMMYFUNCTION("""COMPUTED_VALUE"""),"")</f>
        <v/>
      </c>
      <c r="D149" s="27" t="str">
        <f ca="1">IFERROR(__xludf.DUMMYFUNCTION("""COMPUTED_VALUE"""),"Αθήνα : Π. Σάκκουλας, 1996.")</f>
        <v>Αθήνα : Π. Σάκκουλας, 1996.</v>
      </c>
      <c r="E149" s="26" t="str">
        <f ca="1">IFERROR(__xludf.DUMMYFUNCTION("""COMPUTED_VALUE"""),"347.957(495) ΣινΛ α 1996")</f>
        <v>347.957(495) ΣινΛ α 1996</v>
      </c>
      <c r="F149" s="28" t="str">
        <f ca="1">IFERROR(__xludf.DUMMYFUNCTION("""COMPUTED_VALUE"""),"Αίθουσα Αστικού και Αστικού Δικονομικού Δικαίου")</f>
        <v>Αίθουσα Αστικού και Αστικού Δικονομικού Δικαίου</v>
      </c>
    </row>
    <row r="150" spans="1:6" ht="38.25" customHeight="1" x14ac:dyDescent="0.3">
      <c r="A150" s="25" t="str">
        <f ca="1">IFERROR(__xludf.DUMMYFUNCTION("""COMPUTED_VALUE"""),"Η εκλογή και οι πολιτικά καίριες αρμοδιότητες του Προέδρου της Δημοκρατίας : σε αναζήτηση μιας νέας συνισταμένης / Κωνσταντίνος Γ. Μπακογιάννης   πρόλογος Αντώνης Μακρυδημήτρης.")</f>
        <v>Η εκλογή και οι πολιτικά καίριες αρμοδιότητες του Προέδρου της Δημοκρατίας : σε αναζήτηση μιας νέας συνισταμένης / Κωνσταντίνος Γ. Μπακογιάννης   πρόλογος Αντώνης Μακρυδημήτρης.</v>
      </c>
      <c r="B150" s="26" t="str">
        <f ca="1">IFERROR(__xludf.DUMMYFUNCTION("""COMPUTED_VALUE"""),"Μπακογιάννης, Κωνσταντίνος Γ.")</f>
        <v>Μπακογιάννης, Κωνσταντίνος Γ.</v>
      </c>
      <c r="C150" s="26" t="str">
        <f ca="1">IFERROR(__xludf.DUMMYFUNCTION("""COMPUTED_VALUE"""),"")</f>
        <v/>
      </c>
      <c r="D150" s="27" t="str">
        <f ca="1">IFERROR(__xludf.DUMMYFUNCTION("""COMPUTED_VALUE"""),"Αθήνα   Θεσσαλονίκη: Εκδόσεις Σάκκουλα, 2019.")</f>
        <v>Αθήνα   Θεσσαλονίκη: Εκδόσεις Σάκκουλα, 2019.</v>
      </c>
      <c r="E150" s="26" t="str">
        <f ca="1">IFERROR(__xludf.DUMMYFUNCTION("""COMPUTED_VALUE"""),"342.511 ΜπαΚ ε 2019")</f>
        <v>342.511 ΜπαΚ ε 2019</v>
      </c>
      <c r="F150" s="28" t="str">
        <f ca="1">IFERROR(__xludf.DUMMYFUNCTION("""COMPUTED_VALUE"""),"Αίθουσα Δημοσίου Δικαίου")</f>
        <v>Αίθουσα Δημοσίου Δικαίου</v>
      </c>
    </row>
    <row r="151" spans="1:6" ht="38.25" customHeight="1" x14ac:dyDescent="0.3">
      <c r="A151" s="25" t="s">
        <v>2623</v>
      </c>
      <c r="B151" s="26" t="str">
        <f ca="1">IFERROR(__xludf.DUMMYFUNCTION("""COMPUTED_VALUE"""),"Ιωαννίδη, Αναστασία-Μαρία Φρ.")</f>
        <v>Ιωαννίδη, Αναστασία-Μαρία Φρ.</v>
      </c>
      <c r="C151" s="26" t="str">
        <f ca="1">IFERROR(__xludf.DUMMYFUNCTION("""COMPUTED_VALUE"""),"")</f>
        <v/>
      </c>
      <c r="D151" s="27" t="str">
        <f ca="1">IFERROR(__xludf.DUMMYFUNCTION("""COMPUTED_VALUE"""),"Αθήνα   Θεσσαλονίκη : Εκδ. Σάκκουλα, 2019.")</f>
        <v>Αθήνα   Θεσσαλονίκη : Εκδ. Σάκκουλα, 2019.</v>
      </c>
      <c r="E151" s="26" t="str">
        <f ca="1">IFERROR(__xludf.DUMMYFUNCTION("""COMPUTED_VALUE"""),"347.94 ΙωαΑ ε 2019")</f>
        <v>347.94 ΙωαΑ ε 2019</v>
      </c>
      <c r="F151" s="28" t="str">
        <f ca="1">IFERROR(__xludf.DUMMYFUNCTION("""COMPUTED_VALUE"""),"Αίθουσα Αστικού και Αστικού δικονομικού Δικαίου")</f>
        <v>Αίθουσα Αστικού και Αστικού δικονομικού Δικαίου</v>
      </c>
    </row>
    <row r="152" spans="1:6" ht="38.25" customHeight="1" x14ac:dyDescent="0.3">
      <c r="A152" s="25" t="str">
        <f ca="1">IFERROR(__xludf.DUMMYFUNCTION("""COMPUTED_VALUE"""),"Η εταιρική συμμετοχή στο συνεταιρισμό και ειδικότερα τα δικαιώματα των συνεταίρων / Έφη Τζίβα.")</f>
        <v>Η εταιρική συμμετοχή στο συνεταιρισμό και ειδικότερα τα δικαιώματα των συνεταίρων / Έφη Τζίβα.</v>
      </c>
      <c r="B152" s="26" t="str">
        <f ca="1">IFERROR(__xludf.DUMMYFUNCTION("""COMPUTED_VALUE"""),"Τζίβα, Έφη.")</f>
        <v>Τζίβα, Έφη.</v>
      </c>
      <c r="C152" s="26" t="str">
        <f ca="1">IFERROR(__xludf.DUMMYFUNCTION("""COMPUTED_VALUE"""),"2η έκδ.")</f>
        <v>2η έκδ.</v>
      </c>
      <c r="D152" s="27" t="str">
        <f ca="1">IFERROR(__xludf.DUMMYFUNCTION("""COMPUTED_VALUE"""),"Αθήνα : Σάκκουλας, 2009.")</f>
        <v>Αθήνα : Σάκκουλας, 2009.</v>
      </c>
      <c r="E152" s="26" t="str">
        <f ca="1">IFERROR(__xludf.DUMMYFUNCTION("""COMPUTED_VALUE"""),"347.726(495) ΤζιΕ ε 2009")</f>
        <v>347.726(495) ΤζιΕ ε 2009</v>
      </c>
      <c r="F152" s="28" t="str">
        <f ca="1">IFERROR(__xludf.DUMMYFUNCTION("""COMPUTED_VALUE"""),"Αίθουσα Διεθνούς Δικαίου και Εμπορικού Δικαίου")</f>
        <v>Αίθουσα Διεθνούς Δικαίου και Εμπορικού Δικαίου</v>
      </c>
    </row>
    <row r="153" spans="1:6" ht="68.25" customHeight="1" x14ac:dyDescent="0.3">
      <c r="A153" s="25" t="str">
        <f ca="1">IFERROR(__xludf.DUMMYFUNCTION("""COMPUTED_VALUE"""),"Η νομική έννοια των έργων τέχνης, των μνημείων και των πολιτιστικών αγαθών σε μία  παγκοσμιοποιημένη  κοινωνία / Βασιλική Απ. Παπαδοπούλου   Εθνικό και Καποδιστριακό Πανεπιστήμιο Αθηνών. Νομική Σχολή.")</f>
        <v>Η νομική έννοια των έργων τέχνης, των μνημείων και των πολιτιστικών αγαθών σε μία  παγκοσμιοποιημένη  κοινωνία / Βασιλική Απ. Παπαδοπούλου   Εθνικό και Καποδιστριακό Πανεπιστήμιο Αθηνών. Νομική Σχολή.</v>
      </c>
      <c r="B153" s="26" t="str">
        <f ca="1">IFERROR(__xludf.DUMMYFUNCTION("""COMPUTED_VALUE"""),"Παπαδοπούλου, Βασιλική Απ.")</f>
        <v>Παπαδοπούλου, Βασιλική Απ.</v>
      </c>
      <c r="C153" s="26" t="str">
        <f ca="1">IFERROR(__xludf.DUMMYFUNCTION("""COMPUTED_VALUE"""),"")</f>
        <v/>
      </c>
      <c r="D153" s="27" t="str">
        <f ca="1">IFERROR(__xludf.DUMMYFUNCTION("""COMPUTED_VALUE"""),"[Αθήνα] : [χ.ό.], 2019.")</f>
        <v>[Αθήνα] : [χ.ό.], 2019.</v>
      </c>
      <c r="E153" s="26" t="str">
        <f ca="1">IFERROR(__xludf.DUMMYFUNCTION("""COMPUTED_VALUE"""),"34(043.5) ΠαπΒ ν 2019")</f>
        <v>34(043.5) ΠαπΒ ν 2019</v>
      </c>
      <c r="F153" s="28" t="str">
        <f ca="1">IFERROR(__xludf.DUMMYFUNCTION("""COMPUTED_VALUE"""),"Αίθουσα διδακτορικών διατριβών 1ος όροφος")</f>
        <v>Αίθουσα διδακτορικών διατριβών 1ος όροφος</v>
      </c>
    </row>
    <row r="154" spans="1:6" ht="38.25" customHeight="1" x14ac:dyDescent="0.3">
      <c r="A154" s="25" t="str">
        <f ca="1">IFERROR(__xludf.DUMMYFUNCTION("""COMPUTED_VALUE"""),"Η πλασματική πλήρωση και ματαίωση της αίρεσης / Φίλιππος Ν. Λάμπου   Εθνικό και Καποδιστριακό Πανεπιστήμιο Αθηνών. Νομική Σχολή.")</f>
        <v>Η πλασματική πλήρωση και ματαίωση της αίρεσης / Φίλιππος Ν. Λάμπου   Εθνικό και Καποδιστριακό Πανεπιστήμιο Αθηνών. Νομική Σχολή.</v>
      </c>
      <c r="B154" s="26" t="str">
        <f ca="1">IFERROR(__xludf.DUMMYFUNCTION("""COMPUTED_VALUE"""),"Λάμπου, Φίλιππος Ν.")</f>
        <v>Λάμπου, Φίλιππος Ν.</v>
      </c>
      <c r="C154" s="26" t="str">
        <f ca="1">IFERROR(__xludf.DUMMYFUNCTION("""COMPUTED_VALUE"""),"")</f>
        <v/>
      </c>
      <c r="D154" s="27" t="str">
        <f ca="1">IFERROR(__xludf.DUMMYFUNCTION("""COMPUTED_VALUE"""),"[Αθήνα] : [χ.ό.], 2019.")</f>
        <v>[Αθήνα] : [χ.ό.], 2019.</v>
      </c>
      <c r="E154" s="26" t="str">
        <f ca="1">IFERROR(__xludf.DUMMYFUNCTION("""COMPUTED_VALUE"""),"34(043.5) ΛαμΦ π 2019")</f>
        <v>34(043.5) ΛαμΦ π 2019</v>
      </c>
      <c r="F154" s="28" t="str">
        <f ca="1">IFERROR(__xludf.DUMMYFUNCTION("""COMPUTED_VALUE"""),"Αίθουσα διδακτορικών διατριβών 1ος όροφος")</f>
        <v>Αίθουσα διδακτορικών διατριβών 1ος όροφος</v>
      </c>
    </row>
    <row r="155" spans="1:6" ht="38.25" customHeight="1" x14ac:dyDescent="0.3">
      <c r="A155" s="25" t="s">
        <v>2624</v>
      </c>
      <c r="B155" s="26" t="s">
        <v>2625</v>
      </c>
      <c r="C155" s="26" t="str">
        <f ca="1">IFERROR(__xludf.DUMMYFUNCTION("""COMPUTED_VALUE"""),"")</f>
        <v/>
      </c>
      <c r="D155" s="27" t="str">
        <f ca="1">IFERROR(__xludf.DUMMYFUNCTION("""COMPUTED_VALUE"""),"Αθήνα : Εκδόσεις Σάκκουλα, 2003.")</f>
        <v>Αθήνα : Εκδόσεις Σάκκουλα, 2003.</v>
      </c>
      <c r="E155" s="26" t="str">
        <f ca="1">IFERROR(__xludf.DUMMYFUNCTION("""COMPUTED_VALUE"""),"342(4-672EU)(063) ΠΣΕ2003 2003")</f>
        <v>342(4-672EU)(063) ΠΣΕ2003 2003</v>
      </c>
      <c r="F155" s="28" t="str">
        <f ca="1">IFERROR(__xludf.DUMMYFUNCTION("""COMPUTED_VALUE"""),"Αίθουσα Δημοσίου Δικαίου")</f>
        <v>Αίθουσα Δημοσίου Δικαίου</v>
      </c>
    </row>
    <row r="156" spans="1:6" ht="73.5" customHeight="1" x14ac:dyDescent="0.3">
      <c r="A156" s="25" t="str">
        <f ca="1">IFERROR(__xludf.DUMMYFUNCTION("""COMPUTED_VALUE"""),"Η σχέση του ευρωπαϊκού και εθνικού ιδιωτικού διεθνούς δικαίου υπό το πρίσμα του κανονισμού  Κληρονομικές Σχέσεις  650/2012/ Γεώργιος Νικολαΐδης   Εθνικό και Καποδιστριακό Πανεπιστήμιο Αθηνών. Νομική Σχολή.")</f>
        <v>Η σχέση του ευρωπαϊκού και εθνικού ιδιωτικού διεθνούς δικαίου υπό το πρίσμα του κανονισμού  Κληρονομικές Σχέσεις  650/2012/ Γεώργιος Νικολαΐδης   Εθνικό και Καποδιστριακό Πανεπιστήμιο Αθηνών. Νομική Σχολή.</v>
      </c>
      <c r="B156" s="26" t="str">
        <f ca="1">IFERROR(__xludf.DUMMYFUNCTION("""COMPUTED_VALUE"""),"Νικολαΐδης, Γεώργιος Σ.")</f>
        <v>Νικολαΐδης, Γεώργιος Σ.</v>
      </c>
      <c r="C156" s="26" t="str">
        <f ca="1">IFERROR(__xludf.DUMMYFUNCTION("""COMPUTED_VALUE"""),"")</f>
        <v/>
      </c>
      <c r="D156" s="27" t="str">
        <f ca="1">IFERROR(__xludf.DUMMYFUNCTION("""COMPUTED_VALUE"""),"[Αθήνα] : [χ.ό.], 2019.")</f>
        <v>[Αθήνα] : [χ.ό.], 2019.</v>
      </c>
      <c r="E156" s="26" t="str">
        <f ca="1">IFERROR(__xludf.DUMMYFUNCTION("""COMPUTED_VALUE"""),"34(043.5) ΝικΓ σ 2019")</f>
        <v>34(043.5) ΝικΓ σ 2019</v>
      </c>
      <c r="F156" s="28" t="str">
        <f ca="1">IFERROR(__xludf.DUMMYFUNCTION("""COMPUTED_VALUE"""),"Αίθουσα διδακτορικών διατριβών 1ος όροφος")</f>
        <v>Αίθουσα διδακτορικών διατριβών 1ος όροφος</v>
      </c>
    </row>
    <row r="157" spans="1:6" ht="38.25" customHeight="1" x14ac:dyDescent="0.3">
      <c r="A157" s="25" t="str">
        <f ca="1">IFERROR(__xludf.DUMMYFUNCTION("""COMPUTED_VALUE"""),"Κώδικας ποινικής δικονομίας;""Νέος κώδικας ποινικής δικονομίας : Ν. 4620/2019 (ΦΕΚ Α' 96/11.6.2019) / Λάμπρος Χ. Μαργαρίτης.""")</f>
        <v>Κώδικας ποινικής δικονομίας;"Νέος κώδικας ποινικής δικονομίας : Ν. 4620/2019 (ΦΕΚ Α' 96/11.6.2019) / Λάμπρος Χ. Μαργαρίτης."</v>
      </c>
      <c r="B157" s="26" t="str">
        <f ca="1">IFERROR(__xludf.DUMMYFUNCTION("""COMPUTED_VALUE"""),"")</f>
        <v/>
      </c>
      <c r="C157" s="26" t="str">
        <f ca="1">IFERROR(__xludf.DUMMYFUNCTION("""COMPUTED_VALUE"""),"12η έκδ.")</f>
        <v>12η έκδ.</v>
      </c>
      <c r="D157" s="27" t="str">
        <f ca="1">IFERROR(__xludf.DUMMYFUNCTION("""COMPUTED_VALUE"""),"Αθήνα : Νομική Βιβλιοθήκη, 2019.")</f>
        <v>Αθήνα : Νομική Βιβλιοθήκη, 2019.</v>
      </c>
      <c r="E157" s="26" t="str">
        <f ca="1">IFERROR(__xludf.DUMMYFUNCTION("""COMPUTED_VALUE"""),"343(495) ΚΩΔ ΜαρΛ ν 2019")</f>
        <v>343(495) ΚΩΔ ΜαρΛ ν 2019</v>
      </c>
      <c r="F157" s="28" t="str">
        <f ca="1">IFERROR(__xludf.DUMMYFUNCTION("""COMPUTED_VALUE"""),"Αίθουσα Ποινικού Δικαίου και Εργατικού Δικαίου")</f>
        <v>Αίθουσα Ποινικού Δικαίου και Εργατικού Δικαίου</v>
      </c>
    </row>
    <row r="158" spans="1:6" ht="38.25" customHeight="1" x14ac:dyDescent="0.3">
      <c r="A158" s="25" t="str">
        <f ca="1">IFERROR(__xludf.DUMMYFUNCTION("""COMPUTED_VALUE"""),"Κώδικας πολιτικής δικονομίας / Κωνσταντίνου Φ. Καλαβρού ; επιμέλεια Στέλιου Γ. Σταματόπουλου.")</f>
        <v>Κώδικας πολιτικής δικονομίας / Κωνσταντίνου Φ. Καλαβρού ; επιμέλεια Στέλιου Γ. Σταματόπουλου.</v>
      </c>
      <c r="B158" s="26" t="str">
        <f ca="1">IFERROR(__xludf.DUMMYFUNCTION("""COMPUTED_VALUE"""),"Καλαβρός, Κωνσταντίνος Φ.")</f>
        <v>Καλαβρός, Κωνσταντίνος Φ.</v>
      </c>
      <c r="C158" s="26" t="str">
        <f ca="1">IFERROR(__xludf.DUMMYFUNCTION("""COMPUTED_VALUE"""),"4η έκδ.")</f>
        <v>4η έκδ.</v>
      </c>
      <c r="D158" s="27" t="str">
        <f ca="1">IFERROR(__xludf.DUMMYFUNCTION("""COMPUTED_VALUE"""),"Αθήνα ; Κομοτηνή : Αντ. Ν. Σάκκουλας, 1996.")</f>
        <v>Αθήνα ; Κομοτηνή : Αντ. Ν. Σάκκουλας, 1996.</v>
      </c>
      <c r="E158" s="26" t="str">
        <f ca="1">IFERROR(__xludf.DUMMYFUNCTION("""COMPUTED_VALUE"""),"347.9(495) ΚΩΔ ΚαλΚ κ 1996")</f>
        <v>347.9(495) ΚΩΔ ΚαλΚ κ 1996</v>
      </c>
      <c r="F158" s="28" t="str">
        <f ca="1">IFERROR(__xludf.DUMMYFUNCTION("""COMPUTED_VALUE"""),"Αίθουσα Αστικού και Αστικού Δικονομικού Δικαίου")</f>
        <v>Αίθουσα Αστικού και Αστικού Δικονομικού Δικαίου</v>
      </c>
    </row>
    <row r="159" spans="1:6" ht="38.25" customHeight="1" x14ac:dyDescent="0.3">
      <c r="A159" s="25" t="str">
        <f ca="1">IFERROR(__xludf.DUMMYFUNCTION("""COMPUTED_VALUE"""),"Ναυτικό δίκαιο : ΚΙΝΔ - Διεθνείς συμβάσεις / Λία Ι. Αθανασίου.")</f>
        <v>Ναυτικό δίκαιο : ΚΙΝΔ - Διεθνείς συμβάσεις / Λία Ι. Αθανασίου.</v>
      </c>
      <c r="B159" s="26" t="str">
        <f ca="1">IFERROR(__xludf.DUMMYFUNCTION("""COMPUTED_VALUE"""),"Αθανασίου, Γαρυφαλιά Ι.")</f>
        <v>Αθανασίου, Γαρυφαλιά Ι.</v>
      </c>
      <c r="C159" s="26" t="str">
        <f ca="1">IFERROR(__xludf.DUMMYFUNCTION("""COMPUTED_VALUE"""),"2η έκδ.")</f>
        <v>2η έκδ.</v>
      </c>
      <c r="D159" s="27" t="str">
        <f ca="1">IFERROR(__xludf.DUMMYFUNCTION("""COMPUTED_VALUE"""),"Αθήνα: Νομική Βιβλιοθήκη, 2017.")</f>
        <v>Αθήνα: Νομική Βιβλιοθήκη, 2017.</v>
      </c>
      <c r="E159" s="26" t="str">
        <f ca="1">IFERROR(__xludf.DUMMYFUNCTION("""COMPUTED_VALUE"""),"347.79 ΚΩΔ ΑθαΓ ν 2017")</f>
        <v>347.79 ΚΩΔ ΑθαΓ ν 2017</v>
      </c>
      <c r="F159" s="28" t="str">
        <f ca="1">IFERROR(__xludf.DUMMYFUNCTION("""COMPUTED_VALUE"""),"Αίθουσα Διεθνούς Δικαίου και Εμπορικού Δικαίου")</f>
        <v>Αίθουσα Διεθνούς Δικαίου και Εμπορικού Δικαίου</v>
      </c>
    </row>
    <row r="160" spans="1:6" ht="38.25" customHeight="1" x14ac:dyDescent="0.3">
      <c r="A160" s="25" t="str">
        <f ca="1">IFERROR(__xludf.DUMMYFUNCTION("""COMPUTED_VALUE"""),"Οι διεθνείς συμβάσεις για την αυτόματη ανταλλαγή φορολογικών πληροφοριών : παρουσίαση και ερμηνεία των ρυθμίσεων του διεθνούς φορολογικού δικαίου  / Ναυσικά Θ. Τζαναβάρη   πρόλογος Ανδρέας Τσουρουφλής.")</f>
        <v>Οι διεθνείς συμβάσεις για την αυτόματη ανταλλαγή φορολογικών πληροφοριών : παρουσίαση και ερμηνεία των ρυθμίσεων του διεθνούς φορολογικού δικαίου  / Ναυσικά Θ. Τζαναβάρη   πρόλογος Ανδρέας Τσουρουφλής.</v>
      </c>
      <c r="B160" s="26" t="str">
        <f ca="1">IFERROR(__xludf.DUMMYFUNCTION("""COMPUTED_VALUE"""),"Τζαναβάρη, Ναυσικά.")</f>
        <v>Τζαναβάρη, Ναυσικά.</v>
      </c>
      <c r="C160" s="26" t="str">
        <f ca="1">IFERROR(__xludf.DUMMYFUNCTION("""COMPUTED_VALUE"""),"")</f>
        <v/>
      </c>
      <c r="D160" s="27" t="str">
        <f ca="1">IFERROR(__xludf.DUMMYFUNCTION("""COMPUTED_VALUE"""),"Αθήνα : Νομική Βιβλιοθήκη, 2019.")</f>
        <v>Αθήνα : Νομική Βιβλιοθήκη, 2019.</v>
      </c>
      <c r="E160" s="26" t="str">
        <f ca="1">IFERROR(__xludf.DUMMYFUNCTION("""COMPUTED_VALUE"""),"351.71(4-672ΕU) ΤζαΝ δ 2019")</f>
        <v>351.71(4-672ΕU) ΤζαΝ δ 2019</v>
      </c>
      <c r="F160" s="28" t="str">
        <f ca="1">IFERROR(__xludf.DUMMYFUNCTION("""COMPUTED_VALUE"""),"Αίθουσα Διεθνούς Δικαίου και Εμπορικού Δικαίου")</f>
        <v>Αίθουσα Διεθνούς Δικαίου και Εμπορικού Δικαίου</v>
      </c>
    </row>
    <row r="161" spans="1:6" ht="38.25" customHeight="1" x14ac:dyDescent="0.3">
      <c r="A161" s="25" t="str">
        <f ca="1">IFERROR(__xludf.DUMMYFUNCTION("""COMPUTED_VALUE"""),"Οι κατήγοροι του Σωκράτη : φιλολογική μελέτη / Ε. Ν. Πλάτης.")</f>
        <v>Οι κατήγοροι του Σωκράτη : φιλολογική μελέτη / Ε. Ν. Πλάτης.</v>
      </c>
      <c r="B161" s="26" t="str">
        <f ca="1">IFERROR(__xludf.DUMMYFUNCTION("""COMPUTED_VALUE"""),"Πλατής, Ελευθέριος Ν.")</f>
        <v>Πλατής, Ελευθέριος Ν.</v>
      </c>
      <c r="C161" s="26" t="str">
        <f ca="1">IFERROR(__xludf.DUMMYFUNCTION("""COMPUTED_VALUE"""),"")</f>
        <v/>
      </c>
      <c r="D161" s="27" t="str">
        <f ca="1">IFERROR(__xludf.DUMMYFUNCTION("""COMPUTED_VALUE"""),"Αθήνα : [χ.ο.], 1980")</f>
        <v>Αθήνα : [χ.ο.], 1980</v>
      </c>
      <c r="E161" s="26" t="str">
        <f ca="1">IFERROR(__xludf.DUMMYFUNCTION("""COMPUTED_VALUE"""),"1(38) ΠλαΕ κ 1980")</f>
        <v>1(38) ΠλαΕ κ 1980</v>
      </c>
      <c r="F161" s="28" t="str">
        <f ca="1">IFERROR(__xludf.DUMMYFUNCTION("""COMPUTED_VALUE"""),"Αίθουσα Ιστορίας, Θεωρίας και Φιλοσοφίας του Δικαίου")</f>
        <v>Αίθουσα Ιστορίας, Θεωρίας και Φιλοσοφίας του Δικαίου</v>
      </c>
    </row>
    <row r="162" spans="1:6" ht="38.25" customHeight="1" x14ac:dyDescent="0.3">
      <c r="A162" s="25" t="str">
        <f ca="1">IFERROR(__xludf.DUMMYFUNCTION("""COMPUTED_VALUE"""),"Οικονομικό ποινικό δίκαιο = Economic and finacial criminal law = Wirtschaftsstrafrecht = Droit pénal des affaires / Δημήτρης Ζιούβας.")</f>
        <v>Οικονομικό ποινικό δίκαιο = Economic and finacial criminal law = Wirtschaftsstrafrecht = Droit pénal des affaires / Δημήτρης Ζιούβας.</v>
      </c>
      <c r="B162" s="26" t="str">
        <f ca="1">IFERROR(__xludf.DUMMYFUNCTION("""COMPUTED_VALUE"""),"Ζιούβας, Δημήτρης Λ.")</f>
        <v>Ζιούβας, Δημήτρης Λ.</v>
      </c>
      <c r="C162" s="26" t="str">
        <f ca="1">IFERROR(__xludf.DUMMYFUNCTION("""COMPUTED_VALUE"""),"")</f>
        <v/>
      </c>
      <c r="D162" s="27" t="str">
        <f ca="1">IFERROR(__xludf.DUMMYFUNCTION("""COMPUTED_VALUE"""),"Αθήνα : Ευρωπαϊκές Πανεπιστημιακές Εκδόσεις, c2018.")</f>
        <v>Αθήνα : Ευρωπαϊκές Πανεπιστημιακές Εκδόσεις, c2018.</v>
      </c>
      <c r="E162" s="26" t="str">
        <f ca="1">IFERROR(__xludf.DUMMYFUNCTION("""COMPUTED_VALUE"""),"343.538 ΖιοΔ ο 2018")</f>
        <v>343.538 ΖιοΔ ο 2018</v>
      </c>
      <c r="F162" s="28" t="str">
        <f ca="1">IFERROR(__xludf.DUMMYFUNCTION("""COMPUTED_VALUE"""),"Αίθουσα Ποινικού Δικαίου και Εργατικού Δικαίου")</f>
        <v>Αίθουσα Ποινικού Δικαίου και Εργατικού Δικαίου</v>
      </c>
    </row>
    <row r="163" spans="1:6" ht="38.25" customHeight="1" x14ac:dyDescent="0.3">
      <c r="A163" s="25" t="str">
        <f ca="1">IFERROR(__xludf.DUMMYFUNCTION("""COMPUTED_VALUE"""),"Περιβάλλον : διαγράμματα - σχόλια - νομολογία - υποδείγματα / Δημήτριος Βασιλειάδης, Χριστίνα Διβάνη, Μεταξία Ι. Κουσκουνά, Ανδρέας Παπαπετρόπουλος.")</f>
        <v>Περιβάλλον : διαγράμματα - σχόλια - νομολογία - υποδείγματα / Δημήτριος Βασιλειάδης, Χριστίνα Διβάνη, Μεταξία Ι. Κουσκουνά, Ανδρέας Παπαπετρόπουλος.</v>
      </c>
      <c r="B163" s="26" t="str">
        <f ca="1">IFERROR(__xludf.DUMMYFUNCTION("""COMPUTED_VALUE"""),"Βασιλειάδης, Δημήτριος.")</f>
        <v>Βασιλειάδης, Δημήτριος.</v>
      </c>
      <c r="C163" s="26" t="str">
        <f ca="1">IFERROR(__xludf.DUMMYFUNCTION("""COMPUTED_VALUE"""),"")</f>
        <v/>
      </c>
      <c r="D163" s="27" t="str">
        <f ca="1">IFERROR(__xludf.DUMMYFUNCTION("""COMPUTED_VALUE"""),"Αθήνα : Νομικη Βιβλιοθήκη, 2016.")</f>
        <v>Αθήνα : Νομικη Βιβλιοθήκη, 2016.</v>
      </c>
      <c r="E163" s="26" t="str">
        <f ca="1">IFERROR(__xludf.DUMMYFUNCTION("""COMPUTED_VALUE"""),"349.6 ΒασΔ π 2016")</f>
        <v>349.6 ΒασΔ π 2016</v>
      </c>
      <c r="F163" s="28" t="str">
        <f ca="1">IFERROR(__xludf.DUMMYFUNCTION("""COMPUTED_VALUE"""),"Αίθουσα Δημοσίου Δικαίου")</f>
        <v>Αίθουσα Δημοσίου Δικαίου</v>
      </c>
    </row>
    <row r="164" spans="1:6" ht="38.25" customHeight="1" x14ac:dyDescent="0.3">
      <c r="A164" s="25" t="str">
        <f ca="1">IFERROR(__xludf.DUMMYFUNCTION("""COMPUTED_VALUE"""),"Ποινικός κώδικας;""Νέος ποινικός κώδικας : Ν 4619/2019  (ΦΕΚ Α΄95/11.6.2019) / Λεωνίδας Κοτσαλής.""")</f>
        <v>Ποινικός κώδικας;"Νέος ποινικός κώδικας : Ν 4619/2019  (ΦΕΚ Α΄95/11.6.2019) / Λεωνίδας Κοτσαλής."</v>
      </c>
      <c r="B164" s="26" t="str">
        <f ca="1">IFERROR(__xludf.DUMMYFUNCTION("""COMPUTED_VALUE"""),"")</f>
        <v/>
      </c>
      <c r="C164" s="26" t="str">
        <f ca="1">IFERROR(__xludf.DUMMYFUNCTION("""COMPUTED_VALUE"""),"15η έκδ.")</f>
        <v>15η έκδ.</v>
      </c>
      <c r="D164" s="27" t="str">
        <f ca="1">IFERROR(__xludf.DUMMYFUNCTION("""COMPUTED_VALUE"""),"Αθήνα : Νομική Βιβλιοθήκη, 2019.")</f>
        <v>Αθήνα : Νομική Βιβλιοθήκη, 2019.</v>
      </c>
      <c r="E164" s="26" t="str">
        <f ca="1">IFERROR(__xludf.DUMMYFUNCTION("""COMPUTED_VALUE"""),"343(495) ΚΩΔ ΚοτΛ ν 2019")</f>
        <v>343(495) ΚΩΔ ΚοτΛ ν 2019</v>
      </c>
      <c r="F164" s="28" t="str">
        <f ca="1">IFERROR(__xludf.DUMMYFUNCTION("""COMPUTED_VALUE"""),"Αίθουσα Ποινικού Δικαίου και Εργατικού Δικαίου")</f>
        <v>Αίθουσα Ποινικού Δικαίου και Εργατικού Δικαίου</v>
      </c>
    </row>
    <row r="165" spans="1:6" ht="38.25" customHeight="1" x14ac:dyDescent="0.3">
      <c r="A165" s="25" t="str">
        <f ca="1">IFERROR(__xludf.DUMMYFUNCTION("""COMPUTED_VALUE"""),"Ποινικός κώδιξ : (Ν.1492 της 17/17-8-1950) / επιμέλεια Αθανασίου Κ. Κονταξή.")</f>
        <v>Ποινικός κώδιξ : (Ν.1492 της 17/17-8-1950) / επιμέλεια Αθανασίου Κ. Κονταξή.</v>
      </c>
      <c r="B165" s="26" t="str">
        <f ca="1">IFERROR(__xludf.DUMMYFUNCTION("""COMPUTED_VALUE"""),"")</f>
        <v/>
      </c>
      <c r="C165" s="26" t="str">
        <f ca="1">IFERROR(__xludf.DUMMYFUNCTION("""COMPUTED_VALUE"""),"Αθήνα : Σάκκουλας, 1983.")</f>
        <v>Αθήνα : Σάκκουλας, 1983.</v>
      </c>
      <c r="D165" s="27" t="str">
        <f ca="1">IFERROR(__xludf.DUMMYFUNCTION("""COMPUTED_VALUE"""),"")</f>
        <v/>
      </c>
      <c r="E165" s="26" t="str">
        <f ca="1">IFERROR(__xludf.DUMMYFUNCTION("""COMPUTED_VALUE"""),"343(495) ΚΩΔ ΚονΑ π 1983")</f>
        <v>343(495) ΚΩΔ ΚονΑ π 1983</v>
      </c>
      <c r="F165" s="28" t="str">
        <f ca="1">IFERROR(__xludf.DUMMYFUNCTION("""COMPUTED_VALUE"""),"Αίθουσα Ποινικού Δικαίου και Εργατικού Δικαίου")</f>
        <v>Αίθουσα Ποινικού Δικαίου και Εργατικού Δικαίου</v>
      </c>
    </row>
    <row r="166" spans="1:6" ht="38.25" customHeight="1" x14ac:dyDescent="0.3">
      <c r="A166" s="25" t="str">
        <f ca="1">IFERROR(__xludf.DUMMYFUNCTION("""COMPUTED_VALUE"""),"Προστασία των εργαζομένων μαρτύρων δημοσίου συμφέροντος στο δημόσιο τομέα : οι whistleblowers σε Διεθνείς Οργανισμούς και σε κράτη της Ευρώπης / Μαρία Στυλιανίου.")</f>
        <v>Προστασία των εργαζομένων μαρτύρων δημοσίου συμφέροντος στο δημόσιο τομέα : οι whistleblowers σε Διεθνείς Οργανισμούς και σε κράτη της Ευρώπης / Μαρία Στυλιανίου.</v>
      </c>
      <c r="B166" s="26" t="str">
        <f ca="1">IFERROR(__xludf.DUMMYFUNCTION("""COMPUTED_VALUE"""),"Στυλιανίδου, Μαρία.")</f>
        <v>Στυλιανίδου, Μαρία.</v>
      </c>
      <c r="C166" s="26" t="str">
        <f ca="1">IFERROR(__xludf.DUMMYFUNCTION("""COMPUTED_VALUE"""),"")</f>
        <v/>
      </c>
      <c r="D166" s="27" t="str">
        <f ca="1">IFERROR(__xludf.DUMMYFUNCTION("""COMPUTED_VALUE"""),"Αθήνα : Νομική Βιβλιοθήκη, c2017.")</f>
        <v>Αθήνα : Νομική Βιβλιοθήκη, c2017.</v>
      </c>
      <c r="E166" s="26" t="str">
        <f ca="1">IFERROR(__xludf.DUMMYFUNCTION("""COMPUTED_VALUE"""),"35.083.8 ΣτυΜ π 2017")</f>
        <v>35.083.8 ΣτυΜ π 2017</v>
      </c>
      <c r="F166" s="28" t="s">
        <v>74</v>
      </c>
    </row>
    <row r="167" spans="1:6" ht="38.25" customHeight="1" x14ac:dyDescent="0.3">
      <c r="A167" s="25" t="str">
        <f ca="1">IFERROR(__xludf.DUMMYFUNCTION("""COMPUTED_VALUE"""),"Το λυκόφως των πολιτικών ηγεσιών : αιτία ή αποτέλεσμα της οικονομικής κρίσης / Προκόπης Παυλόπουλος.")</f>
        <v>Το λυκόφως των πολιτικών ηγεσιών : αιτία ή αποτέλεσμα της οικονομικής κρίσης / Προκόπης Παυλόπουλος.</v>
      </c>
      <c r="B167" s="26" t="str">
        <f ca="1">IFERROR(__xludf.DUMMYFUNCTION("""COMPUTED_VALUE"""),"Παυλόπουλος, Προκόπης Β.")</f>
        <v>Παυλόπουλος, Προκόπης Β.</v>
      </c>
      <c r="C167" s="26" t="str">
        <f ca="1">IFERROR(__xludf.DUMMYFUNCTION("""COMPUTED_VALUE"""),"")</f>
        <v/>
      </c>
      <c r="D167" s="27" t="str">
        <f ca="1">IFERROR(__xludf.DUMMYFUNCTION("""COMPUTED_VALUE"""),"Αθήνα : Εκδοτικός Οργανισμός Λιβάνη, 2011.")</f>
        <v>Αθήνα : Εκδοτικός Οργανισμός Λιβάνη, 2011.</v>
      </c>
      <c r="E167" s="26" t="str">
        <f ca="1">IFERROR(__xludf.DUMMYFUNCTION("""COMPUTED_VALUE"""),"328.16 ΠαυΠ λ 2011")</f>
        <v>328.16 ΠαυΠ λ 2011</v>
      </c>
      <c r="F167" s="28" t="str">
        <f ca="1">IFERROR(__xludf.DUMMYFUNCTION("""COMPUTED_VALUE"""),"Αίθουσα Δημοσίου Δικαίου")</f>
        <v>Αίθουσα Δημοσίου Δικαίου</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6CAF-1C01-4401-9F31-9A7DC0DB7FE6}">
  <dimension ref="A1:F158"/>
  <sheetViews>
    <sheetView workbookViewId="0">
      <selection sqref="A1:F1"/>
    </sheetView>
  </sheetViews>
  <sheetFormatPr defaultRowHeight="16.5" x14ac:dyDescent="0.25"/>
  <cols>
    <col min="1" max="1" width="82.28515625" style="21" customWidth="1"/>
    <col min="2" max="2" width="42.28515625" style="21" customWidth="1"/>
    <col min="3" max="3" width="13.7109375" style="21" customWidth="1"/>
    <col min="4" max="4" width="25.5703125" style="21" customWidth="1"/>
    <col min="5" max="5" width="32" style="21" customWidth="1"/>
    <col min="6" max="6" width="32.85546875" style="21" customWidth="1"/>
    <col min="7" max="16384" width="9.140625" style="21"/>
  </cols>
  <sheetData>
    <row r="1" spans="1:6" s="22" customFormat="1" ht="33" x14ac:dyDescent="0.25">
      <c r="A1" s="12" t="s">
        <v>4</v>
      </c>
      <c r="B1" s="13" t="s">
        <v>5</v>
      </c>
      <c r="C1" s="14" t="s">
        <v>2</v>
      </c>
      <c r="D1" s="15" t="s">
        <v>3</v>
      </c>
      <c r="E1" s="16" t="s">
        <v>0</v>
      </c>
      <c r="F1" s="14" t="s">
        <v>1</v>
      </c>
    </row>
    <row r="2" spans="1:6" ht="33" x14ac:dyDescent="0.25">
      <c r="A2" s="23" t="s">
        <v>2626</v>
      </c>
      <c r="B2" s="24" t="s">
        <v>2627</v>
      </c>
      <c r="C2" s="24"/>
      <c r="D2" s="24" t="s">
        <v>2628</v>
      </c>
      <c r="E2" s="24" t="s">
        <v>2629</v>
      </c>
      <c r="F2" s="24" t="s">
        <v>145</v>
      </c>
    </row>
    <row r="3" spans="1:6" ht="49.5" x14ac:dyDescent="0.25">
      <c r="A3" s="23" t="s">
        <v>2630</v>
      </c>
      <c r="B3" s="24"/>
      <c r="C3" s="24"/>
      <c r="D3" s="24" t="s">
        <v>2631</v>
      </c>
      <c r="E3" s="24" t="s">
        <v>2632</v>
      </c>
      <c r="F3" s="24" t="s">
        <v>74</v>
      </c>
    </row>
    <row r="4" spans="1:6" ht="33" x14ac:dyDescent="0.25">
      <c r="A4" s="23" t="s">
        <v>2633</v>
      </c>
      <c r="B4" s="24" t="s">
        <v>2634</v>
      </c>
      <c r="C4" s="24" t="s">
        <v>1041</v>
      </c>
      <c r="D4" s="24" t="s">
        <v>2635</v>
      </c>
      <c r="E4" s="24" t="s">
        <v>2636</v>
      </c>
      <c r="F4" s="24" t="s">
        <v>145</v>
      </c>
    </row>
    <row r="5" spans="1:6" ht="33" x14ac:dyDescent="0.25">
      <c r="A5" s="23" t="s">
        <v>2637</v>
      </c>
      <c r="B5" s="24" t="s">
        <v>2638</v>
      </c>
      <c r="C5" s="24"/>
      <c r="D5" s="24" t="s">
        <v>2639</v>
      </c>
      <c r="E5" s="24" t="s">
        <v>2640</v>
      </c>
      <c r="F5" s="24" t="s">
        <v>13</v>
      </c>
    </row>
    <row r="6" spans="1:6" ht="33" x14ac:dyDescent="0.25">
      <c r="A6" s="23" t="s">
        <v>2641</v>
      </c>
      <c r="B6" s="24"/>
      <c r="C6" s="24" t="s">
        <v>2642</v>
      </c>
      <c r="D6" s="24" t="s">
        <v>2643</v>
      </c>
      <c r="E6" s="24" t="s">
        <v>2644</v>
      </c>
      <c r="F6" s="24" t="s">
        <v>74</v>
      </c>
    </row>
    <row r="7" spans="1:6" ht="33" x14ac:dyDescent="0.25">
      <c r="A7" s="23" t="s">
        <v>2645</v>
      </c>
      <c r="B7" s="24" t="s">
        <v>2646</v>
      </c>
      <c r="C7" s="24" t="s">
        <v>2647</v>
      </c>
      <c r="D7" s="24" t="s">
        <v>2648</v>
      </c>
      <c r="E7" s="24" t="s">
        <v>2649</v>
      </c>
      <c r="F7" s="24" t="s">
        <v>74</v>
      </c>
    </row>
    <row r="8" spans="1:6" ht="33" x14ac:dyDescent="0.25">
      <c r="A8" s="23" t="s">
        <v>2650</v>
      </c>
      <c r="B8" s="24" t="s">
        <v>2651</v>
      </c>
      <c r="C8" s="24" t="s">
        <v>1109</v>
      </c>
      <c r="D8" s="24" t="s">
        <v>2652</v>
      </c>
      <c r="E8" s="24" t="s">
        <v>2653</v>
      </c>
      <c r="F8" s="24" t="s">
        <v>26</v>
      </c>
    </row>
    <row r="9" spans="1:6" ht="33" x14ac:dyDescent="0.25">
      <c r="A9" s="23" t="s">
        <v>2654</v>
      </c>
      <c r="B9" s="24" t="s">
        <v>2655</v>
      </c>
      <c r="C9" s="24"/>
      <c r="D9" s="24" t="s">
        <v>2656</v>
      </c>
      <c r="E9" s="24" t="s">
        <v>2657</v>
      </c>
      <c r="F9" s="24" t="s">
        <v>145</v>
      </c>
    </row>
    <row r="10" spans="1:6" ht="33" x14ac:dyDescent="0.25">
      <c r="A10" s="23" t="s">
        <v>2658</v>
      </c>
      <c r="B10" s="24"/>
      <c r="C10" s="24" t="s">
        <v>1109</v>
      </c>
      <c r="D10" s="24" t="s">
        <v>2023</v>
      </c>
      <c r="E10" s="24" t="s">
        <v>2659</v>
      </c>
      <c r="F10" s="24" t="s">
        <v>145</v>
      </c>
    </row>
    <row r="11" spans="1:6" ht="49.5" x14ac:dyDescent="0.25">
      <c r="A11" s="23" t="s">
        <v>2660</v>
      </c>
      <c r="B11" s="24"/>
      <c r="C11" s="24"/>
      <c r="D11" s="24" t="s">
        <v>2661</v>
      </c>
      <c r="E11" s="24" t="s">
        <v>2662</v>
      </c>
      <c r="F11" s="24" t="s">
        <v>145</v>
      </c>
    </row>
    <row r="12" spans="1:6" ht="33" x14ac:dyDescent="0.25">
      <c r="A12" s="23" t="s">
        <v>2663</v>
      </c>
      <c r="B12" s="24" t="s">
        <v>2664</v>
      </c>
      <c r="C12" s="24" t="s">
        <v>1109</v>
      </c>
      <c r="D12" s="24" t="s">
        <v>1604</v>
      </c>
      <c r="E12" s="24" t="s">
        <v>2665</v>
      </c>
      <c r="F12" s="24" t="s">
        <v>145</v>
      </c>
    </row>
    <row r="13" spans="1:6" ht="33" x14ac:dyDescent="0.25">
      <c r="A13" s="23" t="s">
        <v>2666</v>
      </c>
      <c r="B13" s="24" t="s">
        <v>2667</v>
      </c>
      <c r="C13" s="24"/>
      <c r="D13" s="24" t="s">
        <v>1970</v>
      </c>
      <c r="E13" s="24" t="s">
        <v>2668</v>
      </c>
      <c r="F13" s="24" t="s">
        <v>145</v>
      </c>
    </row>
    <row r="14" spans="1:6" ht="33" x14ac:dyDescent="0.25">
      <c r="A14" s="23" t="s">
        <v>2669</v>
      </c>
      <c r="B14" s="24"/>
      <c r="C14" s="24"/>
      <c r="D14" s="24" t="s">
        <v>2670</v>
      </c>
      <c r="E14" s="24" t="s">
        <v>2671</v>
      </c>
      <c r="F14" s="24" t="s">
        <v>26</v>
      </c>
    </row>
    <row r="15" spans="1:6" ht="33" x14ac:dyDescent="0.25">
      <c r="A15" s="23" t="s">
        <v>2672</v>
      </c>
      <c r="B15" s="24" t="s">
        <v>2673</v>
      </c>
      <c r="C15" s="24"/>
      <c r="D15" s="24" t="s">
        <v>2674</v>
      </c>
      <c r="E15" s="24" t="s">
        <v>2675</v>
      </c>
      <c r="F15" s="24" t="s">
        <v>145</v>
      </c>
    </row>
    <row r="16" spans="1:6" ht="33" x14ac:dyDescent="0.25">
      <c r="A16" s="23" t="s">
        <v>2676</v>
      </c>
      <c r="B16" s="24"/>
      <c r="C16" s="24" t="s">
        <v>1059</v>
      </c>
      <c r="D16" s="24" t="s">
        <v>2670</v>
      </c>
      <c r="E16" s="24" t="s">
        <v>2677</v>
      </c>
      <c r="F16" s="24" t="s">
        <v>57</v>
      </c>
    </row>
    <row r="17" spans="1:6" ht="33" x14ac:dyDescent="0.25">
      <c r="A17" s="23" t="s">
        <v>2678</v>
      </c>
      <c r="B17" s="24"/>
      <c r="C17" s="24"/>
      <c r="D17" s="24" t="s">
        <v>2679</v>
      </c>
      <c r="E17" s="24">
        <v>341</v>
      </c>
      <c r="F17" s="24" t="s">
        <v>145</v>
      </c>
    </row>
    <row r="18" spans="1:6" ht="33" x14ac:dyDescent="0.25">
      <c r="A18" s="23" t="s">
        <v>2680</v>
      </c>
      <c r="B18" s="24" t="s">
        <v>2681</v>
      </c>
      <c r="C18" s="24"/>
      <c r="D18" s="24" t="s">
        <v>2682</v>
      </c>
      <c r="E18" s="24" t="s">
        <v>2683</v>
      </c>
      <c r="F18" s="24" t="s">
        <v>145</v>
      </c>
    </row>
    <row r="19" spans="1:6" ht="33" x14ac:dyDescent="0.25">
      <c r="A19" s="23" t="s">
        <v>2684</v>
      </c>
      <c r="B19" s="24" t="s">
        <v>2685</v>
      </c>
      <c r="C19" s="24" t="s">
        <v>2686</v>
      </c>
      <c r="D19" s="24" t="s">
        <v>2687</v>
      </c>
      <c r="E19" s="24" t="s">
        <v>2688</v>
      </c>
      <c r="F19" s="24" t="s">
        <v>74</v>
      </c>
    </row>
    <row r="20" spans="1:6" x14ac:dyDescent="0.25">
      <c r="A20" s="23" t="s">
        <v>2689</v>
      </c>
      <c r="B20" s="24" t="s">
        <v>2690</v>
      </c>
      <c r="C20" s="24" t="s">
        <v>2691</v>
      </c>
      <c r="D20" s="24" t="s">
        <v>2692</v>
      </c>
      <c r="E20" s="24" t="s">
        <v>2693</v>
      </c>
      <c r="F20" s="24" t="s">
        <v>74</v>
      </c>
    </row>
    <row r="21" spans="1:6" ht="49.5" x14ac:dyDescent="0.25">
      <c r="A21" s="23" t="s">
        <v>2694</v>
      </c>
      <c r="B21" s="24" t="s">
        <v>2695</v>
      </c>
      <c r="C21" s="24" t="s">
        <v>2696</v>
      </c>
      <c r="D21" s="24" t="s">
        <v>2697</v>
      </c>
      <c r="E21" s="24" t="s">
        <v>2698</v>
      </c>
      <c r="F21" s="24" t="s">
        <v>145</v>
      </c>
    </row>
    <row r="22" spans="1:6" ht="33" x14ac:dyDescent="0.25">
      <c r="A22" s="23" t="s">
        <v>2699</v>
      </c>
      <c r="B22" s="24" t="s">
        <v>2700</v>
      </c>
      <c r="C22" s="24"/>
      <c r="D22" s="24" t="s">
        <v>2701</v>
      </c>
      <c r="E22" s="24" t="s">
        <v>2702</v>
      </c>
      <c r="F22" s="24" t="s">
        <v>145</v>
      </c>
    </row>
    <row r="23" spans="1:6" ht="33" x14ac:dyDescent="0.25">
      <c r="A23" s="23" t="s">
        <v>2703</v>
      </c>
      <c r="B23" s="24"/>
      <c r="C23" s="24"/>
      <c r="D23" s="24" t="s">
        <v>2704</v>
      </c>
      <c r="E23" s="24" t="s">
        <v>2705</v>
      </c>
      <c r="F23" s="24" t="s">
        <v>145</v>
      </c>
    </row>
    <row r="24" spans="1:6" ht="33" x14ac:dyDescent="0.25">
      <c r="A24" s="23" t="s">
        <v>2706</v>
      </c>
      <c r="B24" s="24" t="s">
        <v>2707</v>
      </c>
      <c r="C24" s="24" t="s">
        <v>1709</v>
      </c>
      <c r="D24" s="24" t="s">
        <v>2708</v>
      </c>
      <c r="E24" s="24" t="s">
        <v>2709</v>
      </c>
      <c r="F24" s="24" t="s">
        <v>145</v>
      </c>
    </row>
    <row r="25" spans="1:6" ht="33" x14ac:dyDescent="0.25">
      <c r="A25" s="23" t="s">
        <v>2710</v>
      </c>
      <c r="B25" s="24" t="s">
        <v>2711</v>
      </c>
      <c r="C25" s="24"/>
      <c r="D25" s="24" t="s">
        <v>1724</v>
      </c>
      <c r="E25" s="24" t="s">
        <v>2712</v>
      </c>
      <c r="F25" s="24" t="s">
        <v>145</v>
      </c>
    </row>
    <row r="26" spans="1:6" ht="33" x14ac:dyDescent="0.25">
      <c r="A26" s="23" t="s">
        <v>2713</v>
      </c>
      <c r="B26" s="24"/>
      <c r="C26" s="24"/>
      <c r="D26" s="24" t="s">
        <v>2714</v>
      </c>
      <c r="E26" s="24" t="s">
        <v>3150</v>
      </c>
      <c r="F26" s="24" t="s">
        <v>145</v>
      </c>
    </row>
    <row r="27" spans="1:6" ht="33" x14ac:dyDescent="0.25">
      <c r="A27" s="23" t="s">
        <v>2715</v>
      </c>
      <c r="B27" s="24" t="s">
        <v>2716</v>
      </c>
      <c r="C27" s="24"/>
      <c r="D27" s="24" t="s">
        <v>2717</v>
      </c>
      <c r="E27" s="24" t="s">
        <v>2718</v>
      </c>
      <c r="F27" s="24" t="s">
        <v>74</v>
      </c>
    </row>
    <row r="28" spans="1:6" ht="33" x14ac:dyDescent="0.25">
      <c r="A28" s="23" t="s">
        <v>2715</v>
      </c>
      <c r="B28" s="24" t="s">
        <v>2716</v>
      </c>
      <c r="C28" s="24"/>
      <c r="D28" s="24" t="s">
        <v>2717</v>
      </c>
      <c r="E28" s="24" t="s">
        <v>2719</v>
      </c>
      <c r="F28" s="24" t="s">
        <v>74</v>
      </c>
    </row>
    <row r="29" spans="1:6" x14ac:dyDescent="0.25">
      <c r="A29" s="23" t="s">
        <v>2720</v>
      </c>
      <c r="B29" s="24" t="s">
        <v>2721</v>
      </c>
      <c r="C29" s="24"/>
      <c r="D29" s="24" t="s">
        <v>2722</v>
      </c>
      <c r="E29" s="24" t="s">
        <v>2723</v>
      </c>
      <c r="F29" s="24" t="s">
        <v>74</v>
      </c>
    </row>
    <row r="30" spans="1:6" ht="33" x14ac:dyDescent="0.25">
      <c r="A30" s="23" t="s">
        <v>541</v>
      </c>
      <c r="B30" s="24" t="s">
        <v>540</v>
      </c>
      <c r="C30" s="24"/>
      <c r="D30" s="24" t="s">
        <v>542</v>
      </c>
      <c r="E30" s="24" t="s">
        <v>543</v>
      </c>
      <c r="F30" s="24" t="s">
        <v>74</v>
      </c>
    </row>
    <row r="31" spans="1:6" ht="33" x14ac:dyDescent="0.25">
      <c r="A31" s="23" t="s">
        <v>2724</v>
      </c>
      <c r="B31" s="24" t="s">
        <v>2725</v>
      </c>
      <c r="C31" s="24"/>
      <c r="D31" s="24" t="s">
        <v>2726</v>
      </c>
      <c r="E31" s="24" t="s">
        <v>2727</v>
      </c>
      <c r="F31" s="24" t="s">
        <v>145</v>
      </c>
    </row>
    <row r="32" spans="1:6" ht="49.5" x14ac:dyDescent="0.25">
      <c r="A32" s="23" t="s">
        <v>2728</v>
      </c>
      <c r="B32" s="24"/>
      <c r="C32" s="24"/>
      <c r="D32" s="24" t="s">
        <v>2729</v>
      </c>
      <c r="E32" s="24" t="s">
        <v>2730</v>
      </c>
      <c r="F32" s="24" t="s">
        <v>145</v>
      </c>
    </row>
    <row r="33" spans="1:6" ht="33" x14ac:dyDescent="0.25">
      <c r="A33" s="23" t="s">
        <v>2731</v>
      </c>
      <c r="B33" s="24" t="s">
        <v>2732</v>
      </c>
      <c r="C33" s="24" t="s">
        <v>1109</v>
      </c>
      <c r="D33" s="24" t="s">
        <v>2733</v>
      </c>
      <c r="E33" s="24" t="s">
        <v>2734</v>
      </c>
      <c r="F33" s="24" t="s">
        <v>145</v>
      </c>
    </row>
    <row r="34" spans="1:6" ht="33" x14ac:dyDescent="0.25">
      <c r="A34" s="23" t="s">
        <v>2735</v>
      </c>
      <c r="B34" s="24" t="s">
        <v>2736</v>
      </c>
      <c r="C34" s="24"/>
      <c r="D34" s="24" t="s">
        <v>2737</v>
      </c>
      <c r="E34" s="24" t="s">
        <v>2738</v>
      </c>
      <c r="F34" s="24" t="s">
        <v>145</v>
      </c>
    </row>
    <row r="35" spans="1:6" ht="33" x14ac:dyDescent="0.25">
      <c r="A35" s="23" t="s">
        <v>2739</v>
      </c>
      <c r="B35" s="24"/>
      <c r="C35" s="24"/>
      <c r="D35" s="24" t="s">
        <v>2740</v>
      </c>
      <c r="E35" s="24" t="s">
        <v>2741</v>
      </c>
      <c r="F35" s="24" t="s">
        <v>145</v>
      </c>
    </row>
    <row r="36" spans="1:6" ht="66" x14ac:dyDescent="0.25">
      <c r="A36" s="23" t="s">
        <v>2742</v>
      </c>
      <c r="B36" s="24" t="s">
        <v>2743</v>
      </c>
      <c r="C36" s="24" t="s">
        <v>1059</v>
      </c>
      <c r="D36" s="24" t="s">
        <v>2744</v>
      </c>
      <c r="E36" s="24" t="s">
        <v>2745</v>
      </c>
      <c r="F36" s="24" t="s">
        <v>26</v>
      </c>
    </row>
    <row r="37" spans="1:6" ht="33" x14ac:dyDescent="0.25">
      <c r="A37" s="23" t="s">
        <v>2746</v>
      </c>
      <c r="B37" s="24" t="s">
        <v>2747</v>
      </c>
      <c r="C37" s="24"/>
      <c r="D37" s="24" t="s">
        <v>2748</v>
      </c>
      <c r="E37" s="24" t="s">
        <v>2749</v>
      </c>
      <c r="F37" s="24" t="s">
        <v>2750</v>
      </c>
    </row>
    <row r="38" spans="1:6" ht="33" x14ac:dyDescent="0.25">
      <c r="A38" s="23" t="s">
        <v>2751</v>
      </c>
      <c r="B38" s="24"/>
      <c r="C38" s="24"/>
      <c r="D38" s="24" t="s">
        <v>2752</v>
      </c>
      <c r="E38" s="24" t="s">
        <v>2753</v>
      </c>
      <c r="F38" s="24" t="s">
        <v>2111</v>
      </c>
    </row>
    <row r="39" spans="1:6" ht="33" x14ac:dyDescent="0.25">
      <c r="A39" s="23" t="s">
        <v>2754</v>
      </c>
      <c r="B39" s="24"/>
      <c r="C39" s="24"/>
      <c r="D39" s="24" t="s">
        <v>2755</v>
      </c>
      <c r="E39" s="24" t="s">
        <v>2756</v>
      </c>
      <c r="F39" s="24" t="s">
        <v>145</v>
      </c>
    </row>
    <row r="40" spans="1:6" ht="49.5" x14ac:dyDescent="0.25">
      <c r="A40" s="23" t="s">
        <v>2757</v>
      </c>
      <c r="B40" s="24"/>
      <c r="C40" s="24" t="s">
        <v>2758</v>
      </c>
      <c r="D40" s="24" t="s">
        <v>2759</v>
      </c>
      <c r="E40" s="24" t="s">
        <v>2760</v>
      </c>
      <c r="F40" s="24" t="s">
        <v>74</v>
      </c>
    </row>
    <row r="41" spans="1:6" ht="33" x14ac:dyDescent="0.25">
      <c r="A41" s="23" t="s">
        <v>2761</v>
      </c>
      <c r="B41" s="24" t="s">
        <v>2762</v>
      </c>
      <c r="C41" s="24"/>
      <c r="D41" s="24" t="s">
        <v>2763</v>
      </c>
      <c r="E41" s="24" t="s">
        <v>2764</v>
      </c>
      <c r="F41" s="24" t="s">
        <v>13</v>
      </c>
    </row>
    <row r="42" spans="1:6" ht="33" x14ac:dyDescent="0.25">
      <c r="A42" s="23" t="s">
        <v>2765</v>
      </c>
      <c r="B42" s="24" t="s">
        <v>2766</v>
      </c>
      <c r="C42" s="24" t="s">
        <v>1109</v>
      </c>
      <c r="D42" s="24" t="s">
        <v>75</v>
      </c>
      <c r="E42" s="24" t="s">
        <v>2767</v>
      </c>
      <c r="F42" s="24" t="s">
        <v>57</v>
      </c>
    </row>
    <row r="43" spans="1:6" ht="33" x14ac:dyDescent="0.25">
      <c r="A43" s="23" t="s">
        <v>1830</v>
      </c>
      <c r="B43" s="24" t="s">
        <v>1831</v>
      </c>
      <c r="C43" s="24"/>
      <c r="D43" s="24" t="s">
        <v>1050</v>
      </c>
      <c r="E43" s="24" t="s">
        <v>1832</v>
      </c>
      <c r="F43" s="24" t="s">
        <v>145</v>
      </c>
    </row>
    <row r="44" spans="1:6" ht="33" x14ac:dyDescent="0.25">
      <c r="A44" s="23" t="s">
        <v>2768</v>
      </c>
      <c r="B44" s="24" t="s">
        <v>2769</v>
      </c>
      <c r="C44" s="24"/>
      <c r="D44" s="24" t="s">
        <v>2770</v>
      </c>
      <c r="E44" s="24" t="s">
        <v>2771</v>
      </c>
      <c r="F44" s="24" t="s">
        <v>145</v>
      </c>
    </row>
    <row r="45" spans="1:6" ht="33" x14ac:dyDescent="0.25">
      <c r="A45" s="23" t="s">
        <v>2772</v>
      </c>
      <c r="B45" s="24"/>
      <c r="C45" s="24"/>
      <c r="D45" s="24" t="s">
        <v>2773</v>
      </c>
      <c r="E45" s="24" t="s">
        <v>2774</v>
      </c>
      <c r="F45" s="24" t="s">
        <v>145</v>
      </c>
    </row>
    <row r="46" spans="1:6" x14ac:dyDescent="0.25">
      <c r="A46" s="23" t="s">
        <v>2775</v>
      </c>
      <c r="B46" s="24" t="s">
        <v>2776</v>
      </c>
      <c r="C46" s="24"/>
      <c r="D46" s="24" t="s">
        <v>2777</v>
      </c>
      <c r="E46" s="24" t="s">
        <v>2778</v>
      </c>
      <c r="F46" s="24" t="s">
        <v>74</v>
      </c>
    </row>
    <row r="47" spans="1:6" ht="33" x14ac:dyDescent="0.25">
      <c r="A47" s="23" t="s">
        <v>2779</v>
      </c>
      <c r="B47" s="24"/>
      <c r="C47" s="24" t="s">
        <v>2780</v>
      </c>
      <c r="D47" s="24" t="s">
        <v>2781</v>
      </c>
      <c r="E47" s="24" t="s">
        <v>2782</v>
      </c>
      <c r="F47" s="24" t="s">
        <v>13</v>
      </c>
    </row>
    <row r="48" spans="1:6" ht="33" x14ac:dyDescent="0.25">
      <c r="A48" s="23" t="s">
        <v>2783</v>
      </c>
      <c r="B48" s="24" t="s">
        <v>2784</v>
      </c>
      <c r="C48" s="24"/>
      <c r="D48" s="24" t="s">
        <v>2785</v>
      </c>
      <c r="E48" s="24" t="s">
        <v>2786</v>
      </c>
      <c r="F48" s="24" t="s">
        <v>145</v>
      </c>
    </row>
    <row r="49" spans="1:6" ht="33" x14ac:dyDescent="0.25">
      <c r="A49" s="23" t="s">
        <v>2787</v>
      </c>
      <c r="B49" s="24"/>
      <c r="C49" s="24"/>
      <c r="D49" s="24" t="s">
        <v>2737</v>
      </c>
      <c r="E49" s="24" t="s">
        <v>2788</v>
      </c>
      <c r="F49" s="24" t="s">
        <v>1001</v>
      </c>
    </row>
    <row r="50" spans="1:6" ht="33" x14ac:dyDescent="0.25">
      <c r="A50" s="23" t="s">
        <v>2789</v>
      </c>
      <c r="B50" s="24" t="s">
        <v>2790</v>
      </c>
      <c r="C50" s="24" t="s">
        <v>1109</v>
      </c>
      <c r="D50" s="24" t="s">
        <v>2791</v>
      </c>
      <c r="E50" s="24" t="s">
        <v>2792</v>
      </c>
      <c r="F50" s="24" t="s">
        <v>145</v>
      </c>
    </row>
    <row r="51" spans="1:6" ht="33" x14ac:dyDescent="0.25">
      <c r="A51" s="23" t="s">
        <v>2793</v>
      </c>
      <c r="B51" s="24" t="s">
        <v>2790</v>
      </c>
      <c r="C51" s="24" t="s">
        <v>1871</v>
      </c>
      <c r="D51" s="24" t="s">
        <v>2794</v>
      </c>
      <c r="E51" s="24" t="s">
        <v>2792</v>
      </c>
      <c r="F51" s="24" t="s">
        <v>145</v>
      </c>
    </row>
    <row r="52" spans="1:6" ht="49.5" x14ac:dyDescent="0.25">
      <c r="A52" s="23" t="s">
        <v>2795</v>
      </c>
      <c r="B52" s="24" t="s">
        <v>2219</v>
      </c>
      <c r="C52" s="24" t="s">
        <v>1109</v>
      </c>
      <c r="D52" s="24" t="s">
        <v>2796</v>
      </c>
      <c r="E52" s="24" t="s">
        <v>2797</v>
      </c>
      <c r="F52" s="24" t="s">
        <v>2798</v>
      </c>
    </row>
    <row r="53" spans="1:6" ht="66" x14ac:dyDescent="0.25">
      <c r="A53" s="23" t="s">
        <v>2799</v>
      </c>
      <c r="B53" s="24"/>
      <c r="C53" s="24"/>
      <c r="D53" s="24" t="s">
        <v>2800</v>
      </c>
      <c r="E53" s="24" t="s">
        <v>2801</v>
      </c>
      <c r="F53" s="24" t="s">
        <v>145</v>
      </c>
    </row>
    <row r="54" spans="1:6" ht="33" x14ac:dyDescent="0.25">
      <c r="A54" s="23" t="s">
        <v>2802</v>
      </c>
      <c r="B54" s="24" t="s">
        <v>2803</v>
      </c>
      <c r="C54" s="24" t="s">
        <v>1041</v>
      </c>
      <c r="D54" s="24" t="s">
        <v>2001</v>
      </c>
      <c r="E54" s="24" t="s">
        <v>2804</v>
      </c>
      <c r="F54" s="24" t="s">
        <v>145</v>
      </c>
    </row>
    <row r="55" spans="1:6" ht="49.5" x14ac:dyDescent="0.25">
      <c r="A55" s="23" t="s">
        <v>2805</v>
      </c>
      <c r="B55" s="24" t="s">
        <v>2806</v>
      </c>
      <c r="C55" s="24"/>
      <c r="D55" s="24" t="s">
        <v>2807</v>
      </c>
      <c r="E55" s="24" t="s">
        <v>3151</v>
      </c>
      <c r="F55" s="24" t="s">
        <v>145</v>
      </c>
    </row>
    <row r="56" spans="1:6" ht="49.5" x14ac:dyDescent="0.25">
      <c r="A56" s="23" t="s">
        <v>2808</v>
      </c>
      <c r="B56" s="24"/>
      <c r="C56" s="24"/>
      <c r="D56" s="24" t="s">
        <v>2809</v>
      </c>
      <c r="E56" s="24" t="s">
        <v>2810</v>
      </c>
      <c r="F56" s="24" t="s">
        <v>145</v>
      </c>
    </row>
    <row r="57" spans="1:6" ht="33" x14ac:dyDescent="0.25">
      <c r="A57" s="23" t="s">
        <v>2811</v>
      </c>
      <c r="B57" s="24"/>
      <c r="C57" s="24" t="s">
        <v>1871</v>
      </c>
      <c r="D57" s="24" t="s">
        <v>2812</v>
      </c>
      <c r="E57" s="24" t="s">
        <v>2813</v>
      </c>
      <c r="F57" s="24" t="s">
        <v>145</v>
      </c>
    </row>
    <row r="58" spans="1:6" ht="33" x14ac:dyDescent="0.25">
      <c r="A58" s="23" t="s">
        <v>2814</v>
      </c>
      <c r="B58" s="24" t="s">
        <v>2815</v>
      </c>
      <c r="C58" s="24"/>
      <c r="D58" s="24" t="s">
        <v>2816</v>
      </c>
      <c r="E58" s="24" t="s">
        <v>2817</v>
      </c>
      <c r="F58" s="24" t="s">
        <v>145</v>
      </c>
    </row>
    <row r="59" spans="1:6" ht="33" x14ac:dyDescent="0.25">
      <c r="A59" s="23" t="s">
        <v>2818</v>
      </c>
      <c r="B59" s="24"/>
      <c r="C59" s="24"/>
      <c r="D59" s="24" t="s">
        <v>1210</v>
      </c>
      <c r="E59" s="24" t="s">
        <v>2819</v>
      </c>
      <c r="F59" s="24" t="s">
        <v>74</v>
      </c>
    </row>
    <row r="60" spans="1:6" ht="33" x14ac:dyDescent="0.25">
      <c r="A60" s="23" t="s">
        <v>2820</v>
      </c>
      <c r="B60" s="24" t="s">
        <v>2821</v>
      </c>
      <c r="C60" s="24"/>
      <c r="D60" s="24" t="s">
        <v>2822</v>
      </c>
      <c r="E60" s="24" t="s">
        <v>3152</v>
      </c>
      <c r="F60" s="24" t="s">
        <v>145</v>
      </c>
    </row>
    <row r="61" spans="1:6" ht="33" x14ac:dyDescent="0.25">
      <c r="A61" s="23" t="s">
        <v>2823</v>
      </c>
      <c r="B61" s="24" t="s">
        <v>2824</v>
      </c>
      <c r="C61" s="24"/>
      <c r="D61" s="24" t="s">
        <v>2825</v>
      </c>
      <c r="E61" s="24" t="s">
        <v>2826</v>
      </c>
      <c r="F61" s="24" t="s">
        <v>145</v>
      </c>
    </row>
    <row r="62" spans="1:6" ht="49.5" x14ac:dyDescent="0.25">
      <c r="A62" s="23" t="s">
        <v>2827</v>
      </c>
      <c r="B62" s="24"/>
      <c r="C62" s="24"/>
      <c r="D62" s="24" t="s">
        <v>2828</v>
      </c>
      <c r="E62" s="24" t="s">
        <v>2829</v>
      </c>
      <c r="F62" s="24" t="s">
        <v>2830</v>
      </c>
    </row>
    <row r="63" spans="1:6" ht="33" x14ac:dyDescent="0.25">
      <c r="A63" s="23" t="s">
        <v>2831</v>
      </c>
      <c r="B63" s="24" t="s">
        <v>2832</v>
      </c>
      <c r="C63" s="24"/>
      <c r="D63" s="24" t="s">
        <v>2833</v>
      </c>
      <c r="E63" s="24" t="s">
        <v>2834</v>
      </c>
      <c r="F63" s="24" t="s">
        <v>145</v>
      </c>
    </row>
    <row r="64" spans="1:6" ht="33" x14ac:dyDescent="0.25">
      <c r="A64" s="23" t="s">
        <v>2835</v>
      </c>
      <c r="B64" s="24" t="s">
        <v>2836</v>
      </c>
      <c r="C64" s="24"/>
      <c r="D64" s="24" t="s">
        <v>2837</v>
      </c>
      <c r="E64" s="24" t="s">
        <v>3153</v>
      </c>
      <c r="F64" s="24" t="s">
        <v>13</v>
      </c>
    </row>
    <row r="65" spans="1:6" ht="49.5" x14ac:dyDescent="0.25">
      <c r="A65" s="23" t="s">
        <v>2838</v>
      </c>
      <c r="B65" s="24" t="s">
        <v>2839</v>
      </c>
      <c r="C65" s="24"/>
      <c r="D65" s="24" t="s">
        <v>2840</v>
      </c>
      <c r="E65" s="24" t="s">
        <v>3154</v>
      </c>
      <c r="F65" s="24" t="s">
        <v>145</v>
      </c>
    </row>
    <row r="66" spans="1:6" ht="49.5" x14ac:dyDescent="0.25">
      <c r="A66" s="23" t="s">
        <v>2841</v>
      </c>
      <c r="B66" s="24"/>
      <c r="C66" s="24"/>
      <c r="D66" s="24" t="s">
        <v>2842</v>
      </c>
      <c r="E66" s="24" t="s">
        <v>2843</v>
      </c>
      <c r="F66" s="24" t="s">
        <v>145</v>
      </c>
    </row>
    <row r="67" spans="1:6" ht="33" x14ac:dyDescent="0.25">
      <c r="A67" s="23" t="s">
        <v>2844</v>
      </c>
      <c r="B67" s="24" t="s">
        <v>2732</v>
      </c>
      <c r="C67" s="24"/>
      <c r="D67" s="24" t="s">
        <v>2845</v>
      </c>
      <c r="E67" s="24" t="s">
        <v>2846</v>
      </c>
      <c r="F67" s="24" t="s">
        <v>2847</v>
      </c>
    </row>
    <row r="68" spans="1:6" ht="33" x14ac:dyDescent="0.25">
      <c r="A68" s="23" t="s">
        <v>2848</v>
      </c>
      <c r="B68" s="24"/>
      <c r="C68" s="24"/>
      <c r="D68" s="24" t="s">
        <v>2849</v>
      </c>
      <c r="E68" s="24" t="s">
        <v>2850</v>
      </c>
      <c r="F68" s="24" t="s">
        <v>145</v>
      </c>
    </row>
    <row r="69" spans="1:6" ht="33" x14ac:dyDescent="0.25">
      <c r="A69" s="23" t="s">
        <v>2851</v>
      </c>
      <c r="B69" s="24" t="s">
        <v>2852</v>
      </c>
      <c r="C69" s="24"/>
      <c r="D69" s="24" t="s">
        <v>2853</v>
      </c>
      <c r="E69" s="24" t="s">
        <v>2854</v>
      </c>
      <c r="F69" s="24" t="s">
        <v>26</v>
      </c>
    </row>
    <row r="70" spans="1:6" ht="33" x14ac:dyDescent="0.25">
      <c r="A70" s="23" t="s">
        <v>2855</v>
      </c>
      <c r="B70" s="24" t="s">
        <v>2856</v>
      </c>
      <c r="C70" s="24"/>
      <c r="D70" s="24" t="s">
        <v>2857</v>
      </c>
      <c r="E70" s="24" t="s">
        <v>2858</v>
      </c>
      <c r="F70" s="24" t="s">
        <v>145</v>
      </c>
    </row>
    <row r="71" spans="1:6" ht="33" x14ac:dyDescent="0.25">
      <c r="A71" s="23" t="s">
        <v>2859</v>
      </c>
      <c r="B71" s="24" t="s">
        <v>2082</v>
      </c>
      <c r="C71" s="24" t="s">
        <v>2860</v>
      </c>
      <c r="D71" s="24" t="s">
        <v>2861</v>
      </c>
      <c r="E71" s="24" t="s">
        <v>2862</v>
      </c>
      <c r="F71" s="24" t="s">
        <v>57</v>
      </c>
    </row>
    <row r="72" spans="1:6" ht="33" x14ac:dyDescent="0.25">
      <c r="A72" s="23" t="s">
        <v>2863</v>
      </c>
      <c r="B72" s="24" t="s">
        <v>2864</v>
      </c>
      <c r="C72" s="24"/>
      <c r="D72" s="24" t="s">
        <v>2865</v>
      </c>
      <c r="E72" s="24" t="s">
        <v>2866</v>
      </c>
      <c r="F72" s="24" t="s">
        <v>145</v>
      </c>
    </row>
    <row r="73" spans="1:6" ht="33" x14ac:dyDescent="0.25">
      <c r="A73" s="23" t="s">
        <v>2867</v>
      </c>
      <c r="B73" s="24"/>
      <c r="C73" s="24"/>
      <c r="D73" s="24" t="s">
        <v>2868</v>
      </c>
      <c r="E73" s="24" t="s">
        <v>3155</v>
      </c>
      <c r="F73" s="24" t="s">
        <v>74</v>
      </c>
    </row>
    <row r="74" spans="1:6" ht="33" x14ac:dyDescent="0.25">
      <c r="A74" s="23" t="s">
        <v>2869</v>
      </c>
      <c r="B74" s="24" t="s">
        <v>2870</v>
      </c>
      <c r="C74" s="24"/>
      <c r="D74" s="24" t="s">
        <v>2572</v>
      </c>
      <c r="E74" s="24" t="s">
        <v>2871</v>
      </c>
      <c r="F74" s="24" t="s">
        <v>145</v>
      </c>
    </row>
    <row r="75" spans="1:6" ht="33" x14ac:dyDescent="0.25">
      <c r="A75" s="23" t="s">
        <v>2872</v>
      </c>
      <c r="B75" s="24" t="s">
        <v>2873</v>
      </c>
      <c r="C75" s="24"/>
      <c r="D75" s="24" t="s">
        <v>2737</v>
      </c>
      <c r="E75" s="24" t="s">
        <v>2874</v>
      </c>
      <c r="F75" s="24" t="s">
        <v>57</v>
      </c>
    </row>
    <row r="76" spans="1:6" ht="33" x14ac:dyDescent="0.25">
      <c r="A76" s="23" t="s">
        <v>2875</v>
      </c>
      <c r="B76" s="24" t="s">
        <v>2876</v>
      </c>
      <c r="C76" s="24"/>
      <c r="D76" s="24" t="s">
        <v>2877</v>
      </c>
      <c r="E76" s="24" t="s">
        <v>2878</v>
      </c>
      <c r="F76" s="24" t="s">
        <v>13</v>
      </c>
    </row>
    <row r="77" spans="1:6" ht="33" x14ac:dyDescent="0.25">
      <c r="A77" s="23" t="s">
        <v>2879</v>
      </c>
      <c r="B77" s="24" t="s">
        <v>1180</v>
      </c>
      <c r="C77" s="24" t="s">
        <v>2880</v>
      </c>
      <c r="D77" s="24" t="s">
        <v>2881</v>
      </c>
      <c r="E77" s="24" t="s">
        <v>2882</v>
      </c>
      <c r="F77" s="24" t="s">
        <v>13</v>
      </c>
    </row>
    <row r="78" spans="1:6" ht="33" x14ac:dyDescent="0.25">
      <c r="A78" s="23" t="s">
        <v>2883</v>
      </c>
      <c r="B78" s="24"/>
      <c r="C78" s="24"/>
      <c r="D78" s="24" t="s">
        <v>2884</v>
      </c>
      <c r="E78" s="24" t="s">
        <v>2885</v>
      </c>
      <c r="F78" s="24" t="s">
        <v>145</v>
      </c>
    </row>
    <row r="79" spans="1:6" ht="33" x14ac:dyDescent="0.25">
      <c r="A79" s="23" t="s">
        <v>2886</v>
      </c>
      <c r="B79" s="24" t="s">
        <v>2887</v>
      </c>
      <c r="C79" s="24"/>
      <c r="D79" s="24" t="s">
        <v>2888</v>
      </c>
      <c r="E79" s="24" t="s">
        <v>2889</v>
      </c>
      <c r="F79" s="24" t="s">
        <v>74</v>
      </c>
    </row>
    <row r="80" spans="1:6" ht="33" x14ac:dyDescent="0.25">
      <c r="A80" s="23" t="s">
        <v>2890</v>
      </c>
      <c r="B80" s="24" t="s">
        <v>2891</v>
      </c>
      <c r="C80" s="24"/>
      <c r="D80" s="24" t="s">
        <v>2892</v>
      </c>
      <c r="E80" s="24" t="s">
        <v>2893</v>
      </c>
      <c r="F80" s="24" t="s">
        <v>26</v>
      </c>
    </row>
    <row r="81" spans="1:6" ht="33" x14ac:dyDescent="0.25">
      <c r="A81" s="23" t="s">
        <v>2894</v>
      </c>
      <c r="B81" s="24"/>
      <c r="C81" s="24"/>
      <c r="D81" s="24" t="s">
        <v>2895</v>
      </c>
      <c r="E81" s="24" t="s">
        <v>3156</v>
      </c>
      <c r="F81" s="24" t="s">
        <v>145</v>
      </c>
    </row>
    <row r="82" spans="1:6" ht="33" x14ac:dyDescent="0.25">
      <c r="A82" s="23" t="s">
        <v>2896</v>
      </c>
      <c r="B82" s="24"/>
      <c r="C82" s="24"/>
      <c r="D82" s="24" t="s">
        <v>2897</v>
      </c>
      <c r="E82" s="24" t="s">
        <v>2898</v>
      </c>
      <c r="F82" s="24" t="s">
        <v>1001</v>
      </c>
    </row>
    <row r="83" spans="1:6" ht="49.5" x14ac:dyDescent="0.25">
      <c r="A83" s="23" t="s">
        <v>2899</v>
      </c>
      <c r="B83" s="24"/>
      <c r="C83" s="24"/>
      <c r="D83" s="24" t="s">
        <v>2900</v>
      </c>
      <c r="E83" s="24" t="s">
        <v>2901</v>
      </c>
      <c r="F83" s="24" t="s">
        <v>74</v>
      </c>
    </row>
    <row r="84" spans="1:6" ht="49.5" x14ac:dyDescent="0.25">
      <c r="A84" s="23" t="s">
        <v>2902</v>
      </c>
      <c r="B84" s="24" t="s">
        <v>2903</v>
      </c>
      <c r="C84" s="24"/>
      <c r="D84" s="24" t="s">
        <v>2904</v>
      </c>
      <c r="E84" s="24" t="s">
        <v>2905</v>
      </c>
      <c r="F84" s="24" t="s">
        <v>57</v>
      </c>
    </row>
    <row r="85" spans="1:6" ht="33" x14ac:dyDescent="0.25">
      <c r="A85" s="23" t="s">
        <v>2906</v>
      </c>
      <c r="B85" s="24"/>
      <c r="C85" s="24"/>
      <c r="D85" s="24" t="s">
        <v>2907</v>
      </c>
      <c r="E85" s="24" t="s">
        <v>2908</v>
      </c>
      <c r="F85" s="24" t="s">
        <v>145</v>
      </c>
    </row>
    <row r="86" spans="1:6" ht="49.5" x14ac:dyDescent="0.25">
      <c r="A86" s="23" t="s">
        <v>2909</v>
      </c>
      <c r="B86" s="24"/>
      <c r="C86" s="24"/>
      <c r="D86" s="24" t="s">
        <v>2910</v>
      </c>
      <c r="E86" s="24" t="s">
        <v>3157</v>
      </c>
      <c r="F86" s="24" t="s">
        <v>145</v>
      </c>
    </row>
    <row r="87" spans="1:6" ht="33" x14ac:dyDescent="0.25">
      <c r="A87" s="23" t="s">
        <v>2911</v>
      </c>
      <c r="B87" s="24"/>
      <c r="C87" s="24"/>
      <c r="D87" s="24" t="s">
        <v>2912</v>
      </c>
      <c r="E87" s="24" t="s">
        <v>3158</v>
      </c>
      <c r="F87" s="24" t="s">
        <v>145</v>
      </c>
    </row>
    <row r="88" spans="1:6" ht="33" x14ac:dyDescent="0.25">
      <c r="A88" s="23" t="s">
        <v>2913</v>
      </c>
      <c r="B88" s="24" t="s">
        <v>2914</v>
      </c>
      <c r="C88" s="24"/>
      <c r="D88" s="24" t="s">
        <v>1791</v>
      </c>
      <c r="E88" s="24" t="s">
        <v>2915</v>
      </c>
      <c r="F88" s="24" t="s">
        <v>145</v>
      </c>
    </row>
    <row r="89" spans="1:6" ht="33" x14ac:dyDescent="0.25">
      <c r="A89" s="23" t="s">
        <v>2916</v>
      </c>
      <c r="B89" s="24"/>
      <c r="C89" s="24"/>
      <c r="D89" s="24" t="s">
        <v>2917</v>
      </c>
      <c r="E89" s="24" t="s">
        <v>3159</v>
      </c>
      <c r="F89" s="24" t="s">
        <v>145</v>
      </c>
    </row>
    <row r="90" spans="1:6" ht="33" x14ac:dyDescent="0.25">
      <c r="A90" s="23" t="s">
        <v>2918</v>
      </c>
      <c r="B90" s="24"/>
      <c r="C90" s="24"/>
      <c r="D90" s="24" t="s">
        <v>2919</v>
      </c>
      <c r="E90" s="24" t="s">
        <v>2920</v>
      </c>
      <c r="F90" s="24" t="s">
        <v>145</v>
      </c>
    </row>
    <row r="91" spans="1:6" ht="49.5" x14ac:dyDescent="0.25">
      <c r="A91" s="23" t="s">
        <v>2921</v>
      </c>
      <c r="B91" s="24" t="s">
        <v>2922</v>
      </c>
      <c r="C91" s="24" t="s">
        <v>2923</v>
      </c>
      <c r="D91" s="24" t="s">
        <v>2924</v>
      </c>
      <c r="E91" s="24" t="s">
        <v>2925</v>
      </c>
      <c r="F91" s="24" t="s">
        <v>145</v>
      </c>
    </row>
    <row r="92" spans="1:6" ht="33" x14ac:dyDescent="0.25">
      <c r="A92" s="23" t="s">
        <v>2926</v>
      </c>
      <c r="B92" s="24"/>
      <c r="C92" s="24"/>
      <c r="D92" s="24" t="s">
        <v>2927</v>
      </c>
      <c r="E92" s="24" t="s">
        <v>3160</v>
      </c>
      <c r="F92" s="24" t="s">
        <v>145</v>
      </c>
    </row>
    <row r="93" spans="1:6" ht="49.5" x14ac:dyDescent="0.25">
      <c r="A93" s="23" t="s">
        <v>2928</v>
      </c>
      <c r="B93" s="24"/>
      <c r="C93" s="24"/>
      <c r="D93" s="24" t="s">
        <v>2929</v>
      </c>
      <c r="E93" s="24" t="s">
        <v>2930</v>
      </c>
      <c r="F93" s="24" t="s">
        <v>145</v>
      </c>
    </row>
    <row r="94" spans="1:6" ht="33" x14ac:dyDescent="0.25">
      <c r="A94" s="23" t="s">
        <v>2931</v>
      </c>
      <c r="B94" s="24" t="s">
        <v>2932</v>
      </c>
      <c r="C94" s="24"/>
      <c r="D94" s="24" t="s">
        <v>2933</v>
      </c>
      <c r="E94" s="24" t="s">
        <v>3169</v>
      </c>
      <c r="F94" s="24" t="s">
        <v>145</v>
      </c>
    </row>
    <row r="95" spans="1:6" ht="33" x14ac:dyDescent="0.25">
      <c r="A95" s="23" t="s">
        <v>2934</v>
      </c>
      <c r="B95" s="24" t="s">
        <v>2935</v>
      </c>
      <c r="C95" s="24"/>
      <c r="D95" s="24" t="s">
        <v>2936</v>
      </c>
      <c r="E95" s="24" t="s">
        <v>3161</v>
      </c>
      <c r="F95" s="24" t="s">
        <v>145</v>
      </c>
    </row>
    <row r="96" spans="1:6" ht="33" x14ac:dyDescent="0.25">
      <c r="A96" s="23" t="s">
        <v>2937</v>
      </c>
      <c r="B96" s="24" t="s">
        <v>2938</v>
      </c>
      <c r="C96" s="24"/>
      <c r="D96" s="24" t="s">
        <v>2912</v>
      </c>
      <c r="E96" s="24" t="s">
        <v>2939</v>
      </c>
      <c r="F96" s="24" t="s">
        <v>145</v>
      </c>
    </row>
    <row r="97" spans="1:6" ht="49.5" x14ac:dyDescent="0.25">
      <c r="A97" s="23" t="s">
        <v>2940</v>
      </c>
      <c r="B97" s="24" t="s">
        <v>2941</v>
      </c>
      <c r="C97" s="24"/>
      <c r="D97" s="24" t="s">
        <v>2942</v>
      </c>
      <c r="E97" s="24" t="s">
        <v>2943</v>
      </c>
      <c r="F97" s="24" t="s">
        <v>145</v>
      </c>
    </row>
    <row r="98" spans="1:6" x14ac:dyDescent="0.25">
      <c r="A98" s="23" t="s">
        <v>2944</v>
      </c>
      <c r="B98" s="24" t="s">
        <v>2945</v>
      </c>
      <c r="C98" s="24"/>
      <c r="D98" s="24" t="s">
        <v>2946</v>
      </c>
      <c r="E98" s="24" t="s">
        <v>2947</v>
      </c>
      <c r="F98" s="24" t="s">
        <v>74</v>
      </c>
    </row>
    <row r="99" spans="1:6" ht="49.5" x14ac:dyDescent="0.25">
      <c r="A99" s="23" t="s">
        <v>2948</v>
      </c>
      <c r="B99" s="24" t="s">
        <v>2949</v>
      </c>
      <c r="C99" s="24"/>
      <c r="D99" s="24" t="s">
        <v>2950</v>
      </c>
      <c r="E99" s="24" t="s">
        <v>3162</v>
      </c>
      <c r="F99" s="24" t="s">
        <v>145</v>
      </c>
    </row>
    <row r="100" spans="1:6" ht="49.5" x14ac:dyDescent="0.25">
      <c r="A100" s="23" t="s">
        <v>2951</v>
      </c>
      <c r="B100" s="24"/>
      <c r="C100" s="24" t="s">
        <v>2220</v>
      </c>
      <c r="D100" s="24" t="s">
        <v>2952</v>
      </c>
      <c r="E100" s="24" t="s">
        <v>2953</v>
      </c>
      <c r="F100" s="24" t="s">
        <v>74</v>
      </c>
    </row>
    <row r="101" spans="1:6" ht="49.5" x14ac:dyDescent="0.25">
      <c r="A101" s="23" t="s">
        <v>2954</v>
      </c>
      <c r="B101" s="24" t="s">
        <v>2955</v>
      </c>
      <c r="C101" s="24"/>
      <c r="D101" s="24" t="s">
        <v>2956</v>
      </c>
      <c r="E101" s="24" t="s">
        <v>2957</v>
      </c>
      <c r="F101" s="24" t="s">
        <v>145</v>
      </c>
    </row>
    <row r="102" spans="1:6" ht="49.5" x14ac:dyDescent="0.25">
      <c r="A102" s="23" t="s">
        <v>2958</v>
      </c>
      <c r="B102" s="24" t="s">
        <v>2959</v>
      </c>
      <c r="C102" s="24" t="s">
        <v>3170</v>
      </c>
      <c r="D102" s="24" t="s">
        <v>2960</v>
      </c>
      <c r="E102" s="24" t="s">
        <v>2961</v>
      </c>
      <c r="F102" s="24" t="s">
        <v>145</v>
      </c>
    </row>
    <row r="103" spans="1:6" ht="33" x14ac:dyDescent="0.25">
      <c r="A103" s="23" t="s">
        <v>2962</v>
      </c>
      <c r="B103" s="24"/>
      <c r="C103" s="24"/>
      <c r="D103" s="24" t="s">
        <v>2963</v>
      </c>
      <c r="E103" s="24" t="s">
        <v>3163</v>
      </c>
      <c r="F103" s="24" t="s">
        <v>74</v>
      </c>
    </row>
    <row r="104" spans="1:6" ht="33" x14ac:dyDescent="0.25">
      <c r="A104" s="23" t="s">
        <v>2964</v>
      </c>
      <c r="B104" s="24"/>
      <c r="C104" s="24"/>
      <c r="D104" s="24" t="s">
        <v>2737</v>
      </c>
      <c r="E104" s="24" t="s">
        <v>3164</v>
      </c>
      <c r="F104" s="24" t="s">
        <v>145</v>
      </c>
    </row>
    <row r="105" spans="1:6" ht="33" x14ac:dyDescent="0.25">
      <c r="A105" s="23" t="s">
        <v>2965</v>
      </c>
      <c r="B105" s="24"/>
      <c r="C105" s="24"/>
      <c r="D105" s="24" t="s">
        <v>2966</v>
      </c>
      <c r="E105" s="24" t="s">
        <v>2967</v>
      </c>
      <c r="F105" s="24" t="s">
        <v>145</v>
      </c>
    </row>
    <row r="106" spans="1:6" ht="49.5" x14ac:dyDescent="0.25">
      <c r="A106" s="23" t="s">
        <v>2968</v>
      </c>
      <c r="B106" s="24" t="s">
        <v>2969</v>
      </c>
      <c r="C106" s="24" t="s">
        <v>1109</v>
      </c>
      <c r="D106" s="24" t="s">
        <v>2970</v>
      </c>
      <c r="E106" s="24" t="s">
        <v>2971</v>
      </c>
      <c r="F106" s="24" t="s">
        <v>145</v>
      </c>
    </row>
    <row r="107" spans="1:6" ht="33" x14ac:dyDescent="0.25">
      <c r="A107" s="23" t="s">
        <v>2972</v>
      </c>
      <c r="B107" s="24" t="s">
        <v>2973</v>
      </c>
      <c r="C107" s="24"/>
      <c r="D107" s="24" t="s">
        <v>2974</v>
      </c>
      <c r="E107" s="24" t="s">
        <v>2975</v>
      </c>
      <c r="F107" s="24" t="s">
        <v>145</v>
      </c>
    </row>
    <row r="108" spans="1:6" ht="33" x14ac:dyDescent="0.25">
      <c r="A108" s="23" t="s">
        <v>2976</v>
      </c>
      <c r="B108" s="24"/>
      <c r="C108" s="24"/>
      <c r="D108" s="24" t="s">
        <v>2670</v>
      </c>
      <c r="E108" s="24" t="s">
        <v>2977</v>
      </c>
      <c r="F108" s="24" t="s">
        <v>145</v>
      </c>
    </row>
    <row r="109" spans="1:6" ht="49.5" x14ac:dyDescent="0.25">
      <c r="A109" s="23" t="s">
        <v>2978</v>
      </c>
      <c r="B109" s="24" t="s">
        <v>2979</v>
      </c>
      <c r="C109" s="24" t="s">
        <v>2980</v>
      </c>
      <c r="D109" s="24" t="s">
        <v>2981</v>
      </c>
      <c r="E109" s="24" t="s">
        <v>2982</v>
      </c>
      <c r="F109" s="24" t="s">
        <v>145</v>
      </c>
    </row>
    <row r="110" spans="1:6" ht="33" x14ac:dyDescent="0.25">
      <c r="A110" s="23" t="s">
        <v>2983</v>
      </c>
      <c r="B110" s="24" t="s">
        <v>2984</v>
      </c>
      <c r="C110" s="24" t="s">
        <v>1109</v>
      </c>
      <c r="D110" s="24" t="s">
        <v>2985</v>
      </c>
      <c r="E110" s="24" t="s">
        <v>2986</v>
      </c>
      <c r="F110" s="24" t="s">
        <v>145</v>
      </c>
    </row>
    <row r="111" spans="1:6" ht="33" x14ac:dyDescent="0.25">
      <c r="A111" s="23" t="s">
        <v>2987</v>
      </c>
      <c r="B111" s="24"/>
      <c r="C111" s="24"/>
      <c r="D111" s="24" t="s">
        <v>2988</v>
      </c>
      <c r="E111" s="24" t="s">
        <v>2989</v>
      </c>
      <c r="F111" s="24" t="s">
        <v>145</v>
      </c>
    </row>
    <row r="112" spans="1:6" ht="49.5" x14ac:dyDescent="0.25">
      <c r="A112" s="23" t="s">
        <v>2990</v>
      </c>
      <c r="B112" s="24"/>
      <c r="C112" s="24"/>
      <c r="D112" s="24" t="s">
        <v>2991</v>
      </c>
      <c r="E112" s="24" t="s">
        <v>3165</v>
      </c>
      <c r="F112" s="24" t="s">
        <v>74</v>
      </c>
    </row>
    <row r="113" spans="1:6" ht="33" x14ac:dyDescent="0.25">
      <c r="A113" s="23" t="s">
        <v>2992</v>
      </c>
      <c r="B113" s="24" t="s">
        <v>2993</v>
      </c>
      <c r="C113" s="24"/>
      <c r="D113" s="24" t="s">
        <v>2994</v>
      </c>
      <c r="E113" s="24" t="s">
        <v>2995</v>
      </c>
      <c r="F113" s="24" t="s">
        <v>145</v>
      </c>
    </row>
    <row r="114" spans="1:6" ht="33" x14ac:dyDescent="0.25">
      <c r="A114" s="23" t="s">
        <v>2996</v>
      </c>
      <c r="B114" s="24" t="s">
        <v>2997</v>
      </c>
      <c r="C114" s="24"/>
      <c r="D114" s="24" t="s">
        <v>2998</v>
      </c>
      <c r="E114" s="24" t="s">
        <v>2999</v>
      </c>
      <c r="F114" s="24" t="s">
        <v>145</v>
      </c>
    </row>
    <row r="115" spans="1:6" ht="33" x14ac:dyDescent="0.25">
      <c r="A115" s="23" t="s">
        <v>3000</v>
      </c>
      <c r="B115" s="24" t="s">
        <v>3001</v>
      </c>
      <c r="C115" s="24"/>
      <c r="D115" s="24" t="s">
        <v>3002</v>
      </c>
      <c r="E115" s="24" t="s">
        <v>3003</v>
      </c>
      <c r="F115" s="24" t="s">
        <v>13</v>
      </c>
    </row>
    <row r="116" spans="1:6" ht="49.5" x14ac:dyDescent="0.25">
      <c r="A116" s="23" t="s">
        <v>3004</v>
      </c>
      <c r="B116" s="24"/>
      <c r="C116" s="24"/>
      <c r="D116" s="24" t="s">
        <v>2900</v>
      </c>
      <c r="E116" s="24" t="s">
        <v>3005</v>
      </c>
      <c r="F116" s="24" t="s">
        <v>145</v>
      </c>
    </row>
    <row r="117" spans="1:6" ht="33" x14ac:dyDescent="0.25">
      <c r="A117" s="23" t="s">
        <v>3006</v>
      </c>
      <c r="B117" s="24" t="s">
        <v>3007</v>
      </c>
      <c r="C117" s="24"/>
      <c r="D117" s="24" t="s">
        <v>3008</v>
      </c>
      <c r="E117" s="24" t="s">
        <v>3009</v>
      </c>
      <c r="F117" s="24" t="s">
        <v>74</v>
      </c>
    </row>
    <row r="118" spans="1:6" ht="66" x14ac:dyDescent="0.25">
      <c r="A118" s="23" t="s">
        <v>3010</v>
      </c>
      <c r="B118" s="24" t="s">
        <v>3011</v>
      </c>
      <c r="C118" s="24"/>
      <c r="D118" s="24" t="s">
        <v>3012</v>
      </c>
      <c r="E118" s="24" t="s">
        <v>3013</v>
      </c>
      <c r="F118" s="24" t="s">
        <v>74</v>
      </c>
    </row>
    <row r="119" spans="1:6" ht="33" x14ac:dyDescent="0.25">
      <c r="A119" s="23" t="s">
        <v>3014</v>
      </c>
      <c r="B119" s="24" t="s">
        <v>3015</v>
      </c>
      <c r="C119" s="24"/>
      <c r="D119" s="24" t="s">
        <v>3016</v>
      </c>
      <c r="E119" s="24" t="s">
        <v>3017</v>
      </c>
      <c r="F119" s="24" t="s">
        <v>26</v>
      </c>
    </row>
    <row r="120" spans="1:6" ht="49.5" x14ac:dyDescent="0.25">
      <c r="A120" s="23" t="s">
        <v>3018</v>
      </c>
      <c r="B120" s="24" t="s">
        <v>3019</v>
      </c>
      <c r="C120" s="24"/>
      <c r="D120" s="24" t="s">
        <v>3020</v>
      </c>
      <c r="E120" s="24" t="s">
        <v>3021</v>
      </c>
      <c r="F120" s="24" t="s">
        <v>57</v>
      </c>
    </row>
    <row r="121" spans="1:6" ht="33" x14ac:dyDescent="0.25">
      <c r="A121" s="23" t="s">
        <v>3022</v>
      </c>
      <c r="B121" s="24" t="s">
        <v>3023</v>
      </c>
      <c r="C121" s="24" t="s">
        <v>3024</v>
      </c>
      <c r="D121" s="24" t="s">
        <v>3025</v>
      </c>
      <c r="E121" s="24" t="s">
        <v>3026</v>
      </c>
      <c r="F121" s="24" t="s">
        <v>26</v>
      </c>
    </row>
    <row r="122" spans="1:6" ht="33" x14ac:dyDescent="0.25">
      <c r="A122" s="23" t="s">
        <v>3027</v>
      </c>
      <c r="B122" s="24" t="s">
        <v>3028</v>
      </c>
      <c r="C122" s="24"/>
      <c r="D122" s="24" t="s">
        <v>1506</v>
      </c>
      <c r="E122" s="24" t="s">
        <v>3029</v>
      </c>
      <c r="F122" s="24" t="s">
        <v>3030</v>
      </c>
    </row>
    <row r="123" spans="1:6" ht="33" x14ac:dyDescent="0.25">
      <c r="A123" s="23" t="s">
        <v>3031</v>
      </c>
      <c r="B123" s="24"/>
      <c r="C123" s="24"/>
      <c r="D123" s="24" t="s">
        <v>1506</v>
      </c>
      <c r="E123" s="24" t="s">
        <v>3032</v>
      </c>
      <c r="F123" s="24" t="s">
        <v>3033</v>
      </c>
    </row>
    <row r="124" spans="1:6" ht="49.5" x14ac:dyDescent="0.25">
      <c r="A124" s="23" t="s">
        <v>3034</v>
      </c>
      <c r="B124" s="24" t="s">
        <v>3019</v>
      </c>
      <c r="C124" s="24"/>
      <c r="D124" s="24" t="s">
        <v>3035</v>
      </c>
      <c r="E124" s="24" t="s">
        <v>3036</v>
      </c>
      <c r="F124" s="24" t="s">
        <v>57</v>
      </c>
    </row>
    <row r="125" spans="1:6" ht="33" x14ac:dyDescent="0.25">
      <c r="A125" s="23" t="s">
        <v>3037</v>
      </c>
      <c r="B125" s="24" t="s">
        <v>3038</v>
      </c>
      <c r="C125" s="24" t="s">
        <v>3039</v>
      </c>
      <c r="D125" s="24" t="s">
        <v>3040</v>
      </c>
      <c r="E125" s="24" t="s">
        <v>3041</v>
      </c>
      <c r="F125" s="24" t="s">
        <v>74</v>
      </c>
    </row>
    <row r="126" spans="1:6" x14ac:dyDescent="0.25">
      <c r="A126" s="23" t="s">
        <v>3042</v>
      </c>
      <c r="B126" s="24" t="s">
        <v>3043</v>
      </c>
      <c r="C126" s="24"/>
      <c r="D126" s="24" t="s">
        <v>3044</v>
      </c>
      <c r="E126" s="24" t="s">
        <v>3045</v>
      </c>
      <c r="F126" s="24" t="s">
        <v>74</v>
      </c>
    </row>
    <row r="127" spans="1:6" ht="33" x14ac:dyDescent="0.25">
      <c r="A127" s="23" t="s">
        <v>3046</v>
      </c>
      <c r="B127" s="24" t="s">
        <v>3047</v>
      </c>
      <c r="C127" s="24"/>
      <c r="D127" s="24" t="s">
        <v>3048</v>
      </c>
      <c r="E127" s="24" t="s">
        <v>3049</v>
      </c>
      <c r="F127" s="24" t="s">
        <v>13</v>
      </c>
    </row>
    <row r="128" spans="1:6" ht="49.5" x14ac:dyDescent="0.25">
      <c r="A128" s="23" t="s">
        <v>3050</v>
      </c>
      <c r="B128" s="24"/>
      <c r="C128" s="24"/>
      <c r="D128" s="24" t="s">
        <v>3051</v>
      </c>
      <c r="E128" s="24" t="s">
        <v>3052</v>
      </c>
      <c r="F128" s="24" t="s">
        <v>74</v>
      </c>
    </row>
    <row r="129" spans="1:6" ht="33" x14ac:dyDescent="0.25">
      <c r="A129" s="23" t="s">
        <v>3053</v>
      </c>
      <c r="B129" s="24" t="s">
        <v>3054</v>
      </c>
      <c r="C129" s="24"/>
      <c r="D129" s="24" t="s">
        <v>3055</v>
      </c>
      <c r="E129" s="24" t="s">
        <v>3056</v>
      </c>
      <c r="F129" s="24" t="s">
        <v>26</v>
      </c>
    </row>
    <row r="130" spans="1:6" ht="33" x14ac:dyDescent="0.25">
      <c r="A130" s="23" t="s">
        <v>3057</v>
      </c>
      <c r="B130" s="24"/>
      <c r="C130" s="24"/>
      <c r="D130" s="24" t="s">
        <v>3058</v>
      </c>
      <c r="E130" s="24" t="s">
        <v>3059</v>
      </c>
      <c r="F130" s="24" t="s">
        <v>13</v>
      </c>
    </row>
    <row r="131" spans="1:6" ht="33" x14ac:dyDescent="0.25">
      <c r="A131" s="23" t="s">
        <v>3060</v>
      </c>
      <c r="B131" s="24" t="s">
        <v>3019</v>
      </c>
      <c r="C131" s="24"/>
      <c r="D131" s="24" t="s">
        <v>3020</v>
      </c>
      <c r="E131" s="24" t="s">
        <v>3061</v>
      </c>
      <c r="F131" s="24" t="s">
        <v>57</v>
      </c>
    </row>
    <row r="132" spans="1:6" ht="33" x14ac:dyDescent="0.25">
      <c r="A132" s="23" t="s">
        <v>3062</v>
      </c>
      <c r="B132" s="24" t="s">
        <v>3063</v>
      </c>
      <c r="C132" s="24"/>
      <c r="D132" s="24" t="s">
        <v>3064</v>
      </c>
      <c r="E132" s="24" t="s">
        <v>3065</v>
      </c>
      <c r="F132" s="24" t="s">
        <v>74</v>
      </c>
    </row>
    <row r="133" spans="1:6" ht="33" x14ac:dyDescent="0.25">
      <c r="A133" s="23" t="s">
        <v>3066</v>
      </c>
      <c r="B133" s="24" t="s">
        <v>3067</v>
      </c>
      <c r="C133" s="24"/>
      <c r="D133" s="24" t="s">
        <v>581</v>
      </c>
      <c r="E133" s="24" t="s">
        <v>3068</v>
      </c>
      <c r="F133" s="24" t="s">
        <v>26</v>
      </c>
    </row>
    <row r="134" spans="1:6" ht="33" x14ac:dyDescent="0.25">
      <c r="A134" s="23" t="s">
        <v>3069</v>
      </c>
      <c r="B134" s="24" t="s">
        <v>3070</v>
      </c>
      <c r="C134" s="24"/>
      <c r="D134" s="24" t="s">
        <v>3071</v>
      </c>
      <c r="E134" s="24" t="s">
        <v>3072</v>
      </c>
      <c r="F134" s="24" t="s">
        <v>26</v>
      </c>
    </row>
    <row r="135" spans="1:6" ht="33" x14ac:dyDescent="0.25">
      <c r="A135" s="23" t="s">
        <v>3073</v>
      </c>
      <c r="B135" s="24" t="s">
        <v>3074</v>
      </c>
      <c r="C135" s="24"/>
      <c r="D135" s="24" t="s">
        <v>581</v>
      </c>
      <c r="E135" s="24" t="s">
        <v>3075</v>
      </c>
      <c r="F135" s="24" t="s">
        <v>145</v>
      </c>
    </row>
    <row r="136" spans="1:6" ht="33" x14ac:dyDescent="0.25">
      <c r="A136" s="23" t="s">
        <v>3076</v>
      </c>
      <c r="B136" s="24" t="s">
        <v>3019</v>
      </c>
      <c r="C136" s="24"/>
      <c r="D136" s="24" t="s">
        <v>3020</v>
      </c>
      <c r="E136" s="24" t="s">
        <v>3077</v>
      </c>
      <c r="F136" s="24" t="s">
        <v>57</v>
      </c>
    </row>
    <row r="137" spans="1:6" ht="33" x14ac:dyDescent="0.25">
      <c r="A137" s="23" t="s">
        <v>3078</v>
      </c>
      <c r="B137" s="24" t="s">
        <v>3079</v>
      </c>
      <c r="C137" s="24" t="s">
        <v>146</v>
      </c>
      <c r="D137" s="24" t="s">
        <v>3080</v>
      </c>
      <c r="E137" s="24" t="s">
        <v>3081</v>
      </c>
      <c r="F137" s="24" t="s">
        <v>26</v>
      </c>
    </row>
    <row r="138" spans="1:6" x14ac:dyDescent="0.25">
      <c r="A138" s="23" t="s">
        <v>3082</v>
      </c>
      <c r="B138" s="24" t="s">
        <v>3083</v>
      </c>
      <c r="C138" s="24"/>
      <c r="D138" s="24" t="s">
        <v>3084</v>
      </c>
      <c r="E138" s="24" t="s">
        <v>3085</v>
      </c>
      <c r="F138" s="24" t="s">
        <v>74</v>
      </c>
    </row>
    <row r="139" spans="1:6" ht="66" x14ac:dyDescent="0.25">
      <c r="A139" s="23" t="s">
        <v>3086</v>
      </c>
      <c r="B139" s="24" t="s">
        <v>3087</v>
      </c>
      <c r="C139" s="24"/>
      <c r="D139" s="24" t="s">
        <v>3088</v>
      </c>
      <c r="E139" s="24" t="s">
        <v>3089</v>
      </c>
      <c r="F139" s="24" t="s">
        <v>145</v>
      </c>
    </row>
    <row r="140" spans="1:6" ht="19.5" customHeight="1" x14ac:dyDescent="0.25">
      <c r="A140" s="23" t="s">
        <v>3090</v>
      </c>
      <c r="B140" s="24" t="s">
        <v>3091</v>
      </c>
      <c r="C140" s="24"/>
      <c r="D140" s="24" t="s">
        <v>3092</v>
      </c>
      <c r="E140" s="24" t="s">
        <v>3093</v>
      </c>
      <c r="F140" s="24" t="s">
        <v>74</v>
      </c>
    </row>
    <row r="141" spans="1:6" ht="24.75" customHeight="1" x14ac:dyDescent="0.25">
      <c r="A141" s="23" t="s">
        <v>3094</v>
      </c>
      <c r="B141" s="24" t="s">
        <v>3095</v>
      </c>
      <c r="C141" s="24"/>
      <c r="D141" s="24" t="s">
        <v>3096</v>
      </c>
      <c r="E141" s="24" t="s">
        <v>3097</v>
      </c>
      <c r="F141" s="24" t="s">
        <v>74</v>
      </c>
    </row>
    <row r="142" spans="1:6" ht="33" x14ac:dyDescent="0.25">
      <c r="A142" s="23" t="s">
        <v>3098</v>
      </c>
      <c r="B142" s="24" t="s">
        <v>3099</v>
      </c>
      <c r="C142" s="24"/>
      <c r="D142" s="24" t="s">
        <v>3100</v>
      </c>
      <c r="E142" s="24" t="s">
        <v>3101</v>
      </c>
      <c r="F142" s="24" t="s">
        <v>74</v>
      </c>
    </row>
    <row r="143" spans="1:6" ht="33" x14ac:dyDescent="0.25">
      <c r="A143" s="23" t="s">
        <v>3102</v>
      </c>
      <c r="B143" s="24" t="s">
        <v>3103</v>
      </c>
      <c r="C143" s="24"/>
      <c r="D143" s="24" t="s">
        <v>3104</v>
      </c>
      <c r="E143" s="24" t="s">
        <v>3105</v>
      </c>
      <c r="F143" s="24" t="s">
        <v>74</v>
      </c>
    </row>
    <row r="144" spans="1:6" ht="33" x14ac:dyDescent="0.25">
      <c r="A144" s="23" t="s">
        <v>3106</v>
      </c>
      <c r="B144" s="24" t="s">
        <v>3107</v>
      </c>
      <c r="C144" s="24"/>
      <c r="D144" s="24" t="s">
        <v>3108</v>
      </c>
      <c r="E144" s="24" t="s">
        <v>3109</v>
      </c>
      <c r="F144" s="24" t="s">
        <v>145</v>
      </c>
    </row>
    <row r="145" spans="1:6" ht="33" x14ac:dyDescent="0.25">
      <c r="A145" s="23" t="s">
        <v>3110</v>
      </c>
      <c r="B145" s="24" t="s">
        <v>3111</v>
      </c>
      <c r="C145" s="24"/>
      <c r="D145" s="24" t="s">
        <v>3112</v>
      </c>
      <c r="E145" s="24" t="s">
        <v>3113</v>
      </c>
      <c r="F145" s="24" t="s">
        <v>3114</v>
      </c>
    </row>
    <row r="146" spans="1:6" ht="33" x14ac:dyDescent="0.25">
      <c r="A146" s="23" t="s">
        <v>3115</v>
      </c>
      <c r="B146" s="24"/>
      <c r="C146" s="24"/>
      <c r="D146" s="24" t="s">
        <v>3116</v>
      </c>
      <c r="E146" s="24" t="s">
        <v>3166</v>
      </c>
      <c r="F146" s="24" t="s">
        <v>74</v>
      </c>
    </row>
    <row r="147" spans="1:6" ht="33" x14ac:dyDescent="0.25">
      <c r="A147" s="23" t="s">
        <v>3117</v>
      </c>
      <c r="B147" s="24"/>
      <c r="C147" s="24"/>
      <c r="D147" s="24" t="s">
        <v>3118</v>
      </c>
      <c r="E147" s="24" t="s">
        <v>3119</v>
      </c>
      <c r="F147" s="24" t="s">
        <v>26</v>
      </c>
    </row>
    <row r="148" spans="1:6" ht="33" x14ac:dyDescent="0.25">
      <c r="A148" s="23" t="s">
        <v>3117</v>
      </c>
      <c r="B148" s="24"/>
      <c r="C148" s="24"/>
      <c r="D148" s="24" t="s">
        <v>3118</v>
      </c>
      <c r="E148" s="24" t="s">
        <v>3120</v>
      </c>
      <c r="F148" s="24" t="s">
        <v>26</v>
      </c>
    </row>
    <row r="149" spans="1:6" ht="33" x14ac:dyDescent="0.25">
      <c r="A149" s="23" t="s">
        <v>3121</v>
      </c>
      <c r="B149" s="24" t="s">
        <v>3043</v>
      </c>
      <c r="C149" s="24" t="s">
        <v>155</v>
      </c>
      <c r="D149" s="24" t="s">
        <v>3122</v>
      </c>
      <c r="E149" s="24" t="s">
        <v>3123</v>
      </c>
      <c r="F149" s="24" t="s">
        <v>74</v>
      </c>
    </row>
    <row r="150" spans="1:6" ht="33" x14ac:dyDescent="0.25">
      <c r="A150" s="23" t="s">
        <v>3124</v>
      </c>
      <c r="B150" s="24" t="s">
        <v>3103</v>
      </c>
      <c r="C150" s="24"/>
      <c r="D150" s="24" t="s">
        <v>3125</v>
      </c>
      <c r="E150" s="24" t="s">
        <v>3126</v>
      </c>
      <c r="F150" s="24" t="s">
        <v>74</v>
      </c>
    </row>
    <row r="151" spans="1:6" ht="49.5" x14ac:dyDescent="0.25">
      <c r="A151" s="23" t="s">
        <v>3127</v>
      </c>
      <c r="B151" s="24" t="s">
        <v>3019</v>
      </c>
      <c r="C151" s="24"/>
      <c r="D151" s="24" t="s">
        <v>3020</v>
      </c>
      <c r="E151" s="24" t="s">
        <v>3128</v>
      </c>
      <c r="F151" s="24" t="s">
        <v>3129</v>
      </c>
    </row>
    <row r="152" spans="1:6" ht="33" x14ac:dyDescent="0.25">
      <c r="A152" s="23" t="s">
        <v>3130</v>
      </c>
      <c r="B152" s="24" t="s">
        <v>3019</v>
      </c>
      <c r="C152" s="24"/>
      <c r="D152" s="24" t="s">
        <v>3020</v>
      </c>
      <c r="E152" s="24" t="s">
        <v>3131</v>
      </c>
      <c r="F152" s="24" t="s">
        <v>57</v>
      </c>
    </row>
    <row r="153" spans="1:6" ht="49.5" x14ac:dyDescent="0.25">
      <c r="A153" s="23" t="s">
        <v>3132</v>
      </c>
      <c r="B153" s="24"/>
      <c r="C153" s="24"/>
      <c r="D153" s="24" t="s">
        <v>3133</v>
      </c>
      <c r="E153" s="24" t="s">
        <v>3134</v>
      </c>
      <c r="F153" s="24" t="s">
        <v>145</v>
      </c>
    </row>
    <row r="154" spans="1:6" x14ac:dyDescent="0.25">
      <c r="A154" s="23" t="s">
        <v>3135</v>
      </c>
      <c r="B154" s="24" t="s">
        <v>1524</v>
      </c>
      <c r="C154" s="24"/>
      <c r="D154" s="24" t="s">
        <v>3136</v>
      </c>
      <c r="E154" s="24" t="s">
        <v>3167</v>
      </c>
      <c r="F154" s="24" t="s">
        <v>74</v>
      </c>
    </row>
    <row r="155" spans="1:6" ht="33" x14ac:dyDescent="0.25">
      <c r="A155" s="23" t="s">
        <v>3137</v>
      </c>
      <c r="B155" s="24" t="s">
        <v>3138</v>
      </c>
      <c r="C155" s="24"/>
      <c r="D155" s="24" t="s">
        <v>1484</v>
      </c>
      <c r="E155" s="24" t="s">
        <v>3168</v>
      </c>
      <c r="F155" s="24" t="s">
        <v>74</v>
      </c>
    </row>
    <row r="156" spans="1:6" ht="33" x14ac:dyDescent="0.25">
      <c r="A156" s="23" t="s">
        <v>3139</v>
      </c>
      <c r="B156" s="24" t="s">
        <v>3140</v>
      </c>
      <c r="C156" s="24" t="s">
        <v>350</v>
      </c>
      <c r="D156" s="24" t="s">
        <v>3141</v>
      </c>
      <c r="E156" s="24" t="s">
        <v>3142</v>
      </c>
      <c r="F156" s="24" t="s">
        <v>74</v>
      </c>
    </row>
    <row r="157" spans="1:6" ht="49.5" x14ac:dyDescent="0.25">
      <c r="A157" s="23" t="s">
        <v>3143</v>
      </c>
      <c r="B157" s="24" t="s">
        <v>3019</v>
      </c>
      <c r="C157" s="24"/>
      <c r="D157" s="24" t="s">
        <v>3020</v>
      </c>
      <c r="E157" s="24" t="s">
        <v>3144</v>
      </c>
      <c r="F157" s="24" t="s">
        <v>57</v>
      </c>
    </row>
    <row r="158" spans="1:6" x14ac:dyDescent="0.25">
      <c r="A158" s="23" t="s">
        <v>3145</v>
      </c>
      <c r="B158" s="24" t="s">
        <v>3146</v>
      </c>
      <c r="C158" s="24"/>
      <c r="D158" s="24" t="s">
        <v>3147</v>
      </c>
      <c r="E158" s="24" t="s">
        <v>3148</v>
      </c>
      <c r="F158" s="24" t="s">
        <v>74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A333-652D-4C93-9776-863094E4B9C6}">
  <dimension ref="A1:F182"/>
  <sheetViews>
    <sheetView workbookViewId="0">
      <selection activeCell="A176" sqref="A176"/>
    </sheetView>
  </sheetViews>
  <sheetFormatPr defaultRowHeight="62.25" customHeight="1" x14ac:dyDescent="0.25"/>
  <cols>
    <col min="1" max="1" width="83.140625" style="31" customWidth="1"/>
    <col min="2" max="2" width="42" style="30" customWidth="1"/>
    <col min="3" max="3" width="16.5703125" style="30" customWidth="1"/>
    <col min="4" max="4" width="26.28515625" style="30" customWidth="1"/>
    <col min="5" max="5" width="30.7109375" style="30" customWidth="1"/>
    <col min="6" max="6" width="30.85546875" style="30" customWidth="1"/>
    <col min="7" max="16384" width="9.140625" style="30"/>
  </cols>
  <sheetData>
    <row r="1" spans="1:6" ht="28.5" customHeight="1" x14ac:dyDescent="0.25">
      <c r="A1" s="12" t="s">
        <v>4</v>
      </c>
      <c r="B1" s="13" t="s">
        <v>5</v>
      </c>
      <c r="C1" s="14" t="s">
        <v>2</v>
      </c>
      <c r="D1" s="15" t="s">
        <v>3</v>
      </c>
      <c r="E1" s="16" t="s">
        <v>0</v>
      </c>
      <c r="F1" s="14" t="s">
        <v>1</v>
      </c>
    </row>
    <row r="2" spans="1:6" ht="62.25" customHeight="1" x14ac:dyDescent="0.25">
      <c r="A2" s="29" t="s">
        <v>3374</v>
      </c>
      <c r="B2" s="26" t="s">
        <v>3375</v>
      </c>
      <c r="C2" s="26"/>
      <c r="D2" s="26" t="s">
        <v>3376</v>
      </c>
      <c r="E2" s="26" t="s">
        <v>3377</v>
      </c>
      <c r="F2" s="26" t="s">
        <v>145</v>
      </c>
    </row>
    <row r="3" spans="1:6" ht="47.25" customHeight="1" x14ac:dyDescent="0.25">
      <c r="A3" s="29" t="s">
        <v>3252</v>
      </c>
      <c r="B3" s="26"/>
      <c r="C3" s="26"/>
      <c r="D3" s="26" t="s">
        <v>3253</v>
      </c>
      <c r="E3" s="26" t="s">
        <v>3254</v>
      </c>
      <c r="F3" s="26" t="s">
        <v>26</v>
      </c>
    </row>
    <row r="4" spans="1:6" ht="51.75" customHeight="1" x14ac:dyDescent="0.25">
      <c r="A4" s="29" t="s">
        <v>3389</v>
      </c>
      <c r="B4" s="26" t="s">
        <v>3390</v>
      </c>
      <c r="C4" s="26"/>
      <c r="D4" s="26" t="s">
        <v>3391</v>
      </c>
      <c r="E4" s="26" t="s">
        <v>3392</v>
      </c>
      <c r="F4" s="26" t="s">
        <v>145</v>
      </c>
    </row>
    <row r="5" spans="1:6" ht="54" customHeight="1" x14ac:dyDescent="0.25">
      <c r="A5" s="29" t="s">
        <v>3233</v>
      </c>
      <c r="B5" s="26" t="s">
        <v>3234</v>
      </c>
      <c r="C5" s="26"/>
      <c r="D5" s="26" t="s">
        <v>2670</v>
      </c>
      <c r="E5" s="26" t="s">
        <v>3235</v>
      </c>
      <c r="F5" s="26" t="s">
        <v>13</v>
      </c>
    </row>
    <row r="6" spans="1:6" ht="40.5" customHeight="1" x14ac:dyDescent="0.25">
      <c r="A6" s="29" t="s">
        <v>3588</v>
      </c>
      <c r="B6" s="26" t="s">
        <v>3589</v>
      </c>
      <c r="C6" s="26"/>
      <c r="D6" s="26" t="s">
        <v>1899</v>
      </c>
      <c r="E6" s="26" t="s">
        <v>3590</v>
      </c>
      <c r="F6" s="26" t="s">
        <v>74</v>
      </c>
    </row>
    <row r="7" spans="1:6" ht="42.75" customHeight="1" x14ac:dyDescent="0.25">
      <c r="A7" s="29" t="s">
        <v>3387</v>
      </c>
      <c r="B7" s="26"/>
      <c r="C7" s="26"/>
      <c r="D7" s="26" t="s">
        <v>2628</v>
      </c>
      <c r="E7" s="26" t="s">
        <v>3388</v>
      </c>
      <c r="F7" s="26" t="s">
        <v>145</v>
      </c>
    </row>
    <row r="8" spans="1:6" ht="47.25" customHeight="1" x14ac:dyDescent="0.25">
      <c r="A8" s="29" t="s">
        <v>3489</v>
      </c>
      <c r="B8" s="26" t="s">
        <v>3490</v>
      </c>
      <c r="C8" s="26"/>
      <c r="D8" s="26" t="s">
        <v>3491</v>
      </c>
      <c r="E8" s="26" t="s">
        <v>3492</v>
      </c>
      <c r="F8" s="26" t="s">
        <v>145</v>
      </c>
    </row>
    <row r="9" spans="1:6" ht="66" customHeight="1" x14ac:dyDescent="0.25">
      <c r="A9" s="29" t="s">
        <v>3341</v>
      </c>
      <c r="B9" s="26" t="s">
        <v>3342</v>
      </c>
      <c r="C9" s="26"/>
      <c r="D9" s="26" t="s">
        <v>75</v>
      </c>
      <c r="E9" s="26" t="s">
        <v>3343</v>
      </c>
      <c r="F9" s="26" t="s">
        <v>145</v>
      </c>
    </row>
    <row r="10" spans="1:6" ht="37.5" customHeight="1" x14ac:dyDescent="0.25">
      <c r="A10" s="29" t="s">
        <v>3505</v>
      </c>
      <c r="B10" s="26" t="s">
        <v>3506</v>
      </c>
      <c r="C10" s="26"/>
      <c r="D10" s="26" t="s">
        <v>2047</v>
      </c>
      <c r="E10" s="26" t="s">
        <v>3507</v>
      </c>
      <c r="F10" s="26" t="s">
        <v>3508</v>
      </c>
    </row>
    <row r="11" spans="1:6" ht="48" customHeight="1" x14ac:dyDescent="0.25">
      <c r="A11" s="29" t="s">
        <v>3718</v>
      </c>
      <c r="B11" s="26"/>
      <c r="C11" s="26"/>
      <c r="D11" s="26" t="s">
        <v>3719</v>
      </c>
      <c r="E11" s="26" t="s">
        <v>3720</v>
      </c>
      <c r="F11" s="26" t="s">
        <v>13</v>
      </c>
    </row>
    <row r="12" spans="1:6" ht="42.75" customHeight="1" x14ac:dyDescent="0.25">
      <c r="A12" s="29" t="s">
        <v>2650</v>
      </c>
      <c r="B12" s="26" t="s">
        <v>2651</v>
      </c>
      <c r="C12" s="26" t="s">
        <v>1109</v>
      </c>
      <c r="D12" s="26" t="s">
        <v>3241</v>
      </c>
      <c r="E12" s="26" t="s">
        <v>3520</v>
      </c>
      <c r="F12" s="26" t="s">
        <v>26</v>
      </c>
    </row>
    <row r="13" spans="1:6" ht="47.25" customHeight="1" x14ac:dyDescent="0.25">
      <c r="A13" s="29" t="s">
        <v>3657</v>
      </c>
      <c r="B13" s="26" t="s">
        <v>3658</v>
      </c>
      <c r="C13" s="26"/>
      <c r="D13" s="26" t="s">
        <v>3659</v>
      </c>
      <c r="E13" s="26" t="s">
        <v>3660</v>
      </c>
      <c r="F13" s="26" t="s">
        <v>13</v>
      </c>
    </row>
    <row r="14" spans="1:6" ht="62.25" customHeight="1" x14ac:dyDescent="0.25">
      <c r="A14" s="29" t="s">
        <v>3243</v>
      </c>
      <c r="B14" s="26"/>
      <c r="C14" s="26"/>
      <c r="D14" s="26" t="s">
        <v>3244</v>
      </c>
      <c r="E14" s="26" t="s">
        <v>3245</v>
      </c>
      <c r="F14" s="26" t="s">
        <v>145</v>
      </c>
    </row>
    <row r="15" spans="1:6" ht="62.25" customHeight="1" x14ac:dyDescent="0.25">
      <c r="A15" s="29" t="s">
        <v>3551</v>
      </c>
      <c r="B15" s="26" t="s">
        <v>3552</v>
      </c>
      <c r="C15" s="26"/>
      <c r="D15" s="26" t="s">
        <v>3553</v>
      </c>
      <c r="E15" s="26" t="s">
        <v>3554</v>
      </c>
      <c r="F15" s="26" t="s">
        <v>145</v>
      </c>
    </row>
    <row r="16" spans="1:6" ht="62.25" customHeight="1" x14ac:dyDescent="0.25">
      <c r="A16" s="29" t="s">
        <v>3468</v>
      </c>
      <c r="B16" s="26" t="s">
        <v>3469</v>
      </c>
      <c r="C16" s="26"/>
      <c r="D16" s="26" t="s">
        <v>3470</v>
      </c>
      <c r="E16" s="26" t="s">
        <v>3471</v>
      </c>
      <c r="F16" s="26" t="s">
        <v>74</v>
      </c>
    </row>
    <row r="17" spans="1:6" ht="29.25" customHeight="1" x14ac:dyDescent="0.25">
      <c r="A17" s="29" t="s">
        <v>3633</v>
      </c>
      <c r="B17" s="26" t="s">
        <v>3634</v>
      </c>
      <c r="C17" s="26" t="s">
        <v>1059</v>
      </c>
      <c r="D17" s="26" t="s">
        <v>3635</v>
      </c>
      <c r="E17" s="26" t="s">
        <v>3636</v>
      </c>
      <c r="F17" s="26" t="s">
        <v>13</v>
      </c>
    </row>
    <row r="18" spans="1:6" ht="51" customHeight="1" x14ac:dyDescent="0.25">
      <c r="A18" s="29" t="s">
        <v>3755</v>
      </c>
      <c r="B18" s="26" t="s">
        <v>3756</v>
      </c>
      <c r="C18" s="26"/>
      <c r="D18" s="26" t="s">
        <v>3757</v>
      </c>
      <c r="E18" s="26" t="s">
        <v>3758</v>
      </c>
      <c r="F18" s="26" t="s">
        <v>26</v>
      </c>
    </row>
    <row r="19" spans="1:6" ht="45.75" customHeight="1" x14ac:dyDescent="0.25">
      <c r="A19" s="29" t="s">
        <v>3408</v>
      </c>
      <c r="B19" s="26" t="s">
        <v>3409</v>
      </c>
      <c r="C19" s="26"/>
      <c r="D19" s="26" t="s">
        <v>3410</v>
      </c>
      <c r="E19" s="26" t="s">
        <v>3411</v>
      </c>
      <c r="F19" s="26" t="s">
        <v>145</v>
      </c>
    </row>
    <row r="20" spans="1:6" ht="48.75" customHeight="1" x14ac:dyDescent="0.25">
      <c r="A20" s="29" t="s">
        <v>3262</v>
      </c>
      <c r="B20" s="26"/>
      <c r="C20" s="26"/>
      <c r="D20" s="26" t="s">
        <v>3263</v>
      </c>
      <c r="E20" s="26" t="s">
        <v>3264</v>
      </c>
      <c r="F20" s="26" t="s">
        <v>74</v>
      </c>
    </row>
    <row r="21" spans="1:6" ht="32.25" customHeight="1" x14ac:dyDescent="0.25">
      <c r="A21" s="29" t="s">
        <v>3430</v>
      </c>
      <c r="B21" s="26"/>
      <c r="C21" s="26"/>
      <c r="D21" s="26" t="s">
        <v>3431</v>
      </c>
      <c r="E21" s="26" t="s">
        <v>3432</v>
      </c>
      <c r="F21" s="26" t="s">
        <v>13</v>
      </c>
    </row>
    <row r="22" spans="1:6" ht="48" customHeight="1" x14ac:dyDescent="0.25">
      <c r="A22" s="29" t="s">
        <v>3597</v>
      </c>
      <c r="B22" s="26" t="s">
        <v>3598</v>
      </c>
      <c r="C22" s="26"/>
      <c r="D22" s="26" t="s">
        <v>2628</v>
      </c>
      <c r="E22" s="26" t="s">
        <v>3599</v>
      </c>
      <c r="F22" s="26" t="s">
        <v>3600</v>
      </c>
    </row>
    <row r="23" spans="1:6" ht="32.25" customHeight="1" x14ac:dyDescent="0.25">
      <c r="A23" s="29" t="s">
        <v>3455</v>
      </c>
      <c r="B23" s="26" t="s">
        <v>3456</v>
      </c>
      <c r="C23" s="26"/>
      <c r="D23" s="26" t="s">
        <v>2737</v>
      </c>
      <c r="E23" s="26" t="s">
        <v>3457</v>
      </c>
      <c r="F23" s="26" t="s">
        <v>26</v>
      </c>
    </row>
    <row r="24" spans="1:6" ht="48.75" customHeight="1" x14ac:dyDescent="0.25">
      <c r="A24" s="29" t="s">
        <v>3648</v>
      </c>
      <c r="B24" s="26"/>
      <c r="C24" s="26"/>
      <c r="D24" s="26" t="s">
        <v>3303</v>
      </c>
      <c r="E24" s="26" t="s">
        <v>3649</v>
      </c>
      <c r="F24" s="26" t="s">
        <v>145</v>
      </c>
    </row>
    <row r="25" spans="1:6" ht="33.75" customHeight="1" x14ac:dyDescent="0.25">
      <c r="A25" s="29" t="s">
        <v>3181</v>
      </c>
      <c r="B25" s="26"/>
      <c r="C25" s="26"/>
      <c r="D25" s="26" t="s">
        <v>2737</v>
      </c>
      <c r="E25" s="26" t="s">
        <v>3182</v>
      </c>
      <c r="F25" s="26" t="s">
        <v>145</v>
      </c>
    </row>
    <row r="26" spans="1:6" ht="62.25" customHeight="1" x14ac:dyDescent="0.25">
      <c r="A26" s="29" t="s">
        <v>3745</v>
      </c>
      <c r="B26" s="26"/>
      <c r="C26" s="26"/>
      <c r="D26" s="26" t="s">
        <v>3746</v>
      </c>
      <c r="E26" s="26" t="s">
        <v>3747</v>
      </c>
      <c r="F26" s="26" t="s">
        <v>26</v>
      </c>
    </row>
    <row r="27" spans="1:6" ht="33" customHeight="1" x14ac:dyDescent="0.25">
      <c r="A27" s="29" t="s">
        <v>3616</v>
      </c>
      <c r="B27" s="26" t="s">
        <v>3617</v>
      </c>
      <c r="C27" s="26"/>
      <c r="D27" s="26" t="s">
        <v>3618</v>
      </c>
      <c r="E27" s="26" t="s">
        <v>3619</v>
      </c>
      <c r="F27" s="26" t="s">
        <v>1789</v>
      </c>
    </row>
    <row r="28" spans="1:6" ht="45.75" customHeight="1" x14ac:dyDescent="0.25">
      <c r="A28" s="29" t="s">
        <v>3681</v>
      </c>
      <c r="B28" s="26" t="s">
        <v>3682</v>
      </c>
      <c r="C28" s="26"/>
      <c r="D28" s="26" t="s">
        <v>2628</v>
      </c>
      <c r="E28" s="26" t="s">
        <v>3683</v>
      </c>
      <c r="F28" s="26" t="s">
        <v>74</v>
      </c>
    </row>
    <row r="29" spans="1:6" ht="45.75" customHeight="1" x14ac:dyDescent="0.25">
      <c r="A29" s="29" t="s">
        <v>3412</v>
      </c>
      <c r="B29" s="26" t="s">
        <v>3413</v>
      </c>
      <c r="C29" s="26"/>
      <c r="D29" s="26" t="s">
        <v>3414</v>
      </c>
      <c r="E29" s="26" t="s">
        <v>3415</v>
      </c>
      <c r="F29" s="26" t="s">
        <v>13</v>
      </c>
    </row>
    <row r="30" spans="1:6" ht="46.5" customHeight="1" x14ac:dyDescent="0.25">
      <c r="A30" s="29" t="s">
        <v>3371</v>
      </c>
      <c r="B30" s="26"/>
      <c r="C30" s="26"/>
      <c r="D30" s="26" t="s">
        <v>3372</v>
      </c>
      <c r="E30" s="26" t="s">
        <v>3373</v>
      </c>
      <c r="F30" s="26" t="s">
        <v>145</v>
      </c>
    </row>
    <row r="31" spans="1:6" ht="36.75" customHeight="1" x14ac:dyDescent="0.25">
      <c r="A31" s="29" t="s">
        <v>3293</v>
      </c>
      <c r="B31" s="26" t="s">
        <v>3294</v>
      </c>
      <c r="C31" s="26"/>
      <c r="D31" s="26" t="s">
        <v>3295</v>
      </c>
      <c r="E31" s="26" t="s">
        <v>3296</v>
      </c>
      <c r="F31" s="26" t="s">
        <v>145</v>
      </c>
    </row>
    <row r="32" spans="1:6" ht="39" customHeight="1" x14ac:dyDescent="0.25">
      <c r="A32" s="29" t="s">
        <v>3513</v>
      </c>
      <c r="B32" s="26"/>
      <c r="C32" s="26"/>
      <c r="D32" s="26" t="s">
        <v>3369</v>
      </c>
      <c r="E32" s="26" t="s">
        <v>3514</v>
      </c>
      <c r="F32" s="26" t="s">
        <v>26</v>
      </c>
    </row>
    <row r="33" spans="1:6" ht="31.5" customHeight="1" x14ac:dyDescent="0.25">
      <c r="A33" s="29" t="s">
        <v>3721</v>
      </c>
      <c r="B33" s="26"/>
      <c r="C33" s="26"/>
      <c r="D33" s="26" t="s">
        <v>3722</v>
      </c>
      <c r="E33" s="26" t="s">
        <v>3723</v>
      </c>
      <c r="F33" s="26" t="s">
        <v>13</v>
      </c>
    </row>
    <row r="34" spans="1:6" ht="53.25" customHeight="1" x14ac:dyDescent="0.25">
      <c r="A34" s="29" t="s">
        <v>3663</v>
      </c>
      <c r="B34" s="26" t="s">
        <v>3664</v>
      </c>
      <c r="C34" s="26"/>
      <c r="D34" s="26" t="s">
        <v>3665</v>
      </c>
      <c r="E34" s="26" t="s">
        <v>3666</v>
      </c>
      <c r="F34" s="26" t="s">
        <v>13</v>
      </c>
    </row>
    <row r="35" spans="1:6" ht="32.25" customHeight="1" x14ac:dyDescent="0.25">
      <c r="A35" s="29" t="s">
        <v>3585</v>
      </c>
      <c r="B35" s="26"/>
      <c r="C35" s="26"/>
      <c r="D35" s="26" t="s">
        <v>3586</v>
      </c>
      <c r="E35" s="26" t="s">
        <v>3587</v>
      </c>
      <c r="F35" s="26" t="s">
        <v>26</v>
      </c>
    </row>
    <row r="36" spans="1:6" ht="39.75" customHeight="1" x14ac:dyDescent="0.25">
      <c r="A36" s="29" t="s">
        <v>3730</v>
      </c>
      <c r="B36" s="26"/>
      <c r="C36" s="26"/>
      <c r="D36" s="26" t="s">
        <v>1638</v>
      </c>
      <c r="E36" s="26" t="s">
        <v>3731</v>
      </c>
      <c r="F36" s="26" t="s">
        <v>13</v>
      </c>
    </row>
    <row r="37" spans="1:6" ht="39.75" customHeight="1" x14ac:dyDescent="0.25">
      <c r="A37" s="29" t="s">
        <v>3732</v>
      </c>
      <c r="B37" s="26" t="s">
        <v>3733</v>
      </c>
      <c r="C37" s="26"/>
      <c r="D37" s="26" t="s">
        <v>3734</v>
      </c>
      <c r="E37" s="26" t="s">
        <v>3735</v>
      </c>
      <c r="F37" s="26" t="s">
        <v>13</v>
      </c>
    </row>
    <row r="38" spans="1:6" ht="42" customHeight="1" x14ac:dyDescent="0.25">
      <c r="A38" s="29" t="s">
        <v>3667</v>
      </c>
      <c r="B38" s="26"/>
      <c r="C38" s="26"/>
      <c r="D38" s="26" t="s">
        <v>3668</v>
      </c>
      <c r="E38" s="26" t="s">
        <v>3669</v>
      </c>
      <c r="F38" s="26" t="s">
        <v>145</v>
      </c>
    </row>
    <row r="39" spans="1:6" ht="40.5" customHeight="1" x14ac:dyDescent="0.25">
      <c r="A39" s="29" t="s">
        <v>3217</v>
      </c>
      <c r="B39" s="26" t="s">
        <v>3218</v>
      </c>
      <c r="C39" s="26"/>
      <c r="D39" s="26" t="s">
        <v>3219</v>
      </c>
      <c r="E39" s="26" t="s">
        <v>3220</v>
      </c>
      <c r="F39" s="26" t="s">
        <v>74</v>
      </c>
    </row>
    <row r="40" spans="1:6" ht="33.75" customHeight="1" x14ac:dyDescent="0.25">
      <c r="A40" s="29" t="s">
        <v>3329</v>
      </c>
      <c r="B40" s="26"/>
      <c r="C40" s="26" t="s">
        <v>3330</v>
      </c>
      <c r="D40" s="26" t="s">
        <v>3331</v>
      </c>
      <c r="E40" s="26" t="s">
        <v>3332</v>
      </c>
      <c r="F40" s="26" t="s">
        <v>145</v>
      </c>
    </row>
    <row r="41" spans="1:6" ht="39" customHeight="1" x14ac:dyDescent="0.25">
      <c r="A41" s="29" t="s">
        <v>3347</v>
      </c>
      <c r="B41" s="26"/>
      <c r="C41" s="26"/>
      <c r="D41" s="26" t="s">
        <v>2737</v>
      </c>
      <c r="E41" s="26" t="s">
        <v>3348</v>
      </c>
      <c r="F41" s="26" t="s">
        <v>145</v>
      </c>
    </row>
    <row r="42" spans="1:6" ht="34.5" customHeight="1" x14ac:dyDescent="0.25">
      <c r="A42" s="29" t="s">
        <v>3271</v>
      </c>
      <c r="B42" s="26"/>
      <c r="C42" s="26"/>
      <c r="D42" s="26" t="s">
        <v>3241</v>
      </c>
      <c r="E42" s="26" t="s">
        <v>3272</v>
      </c>
      <c r="F42" s="26" t="s">
        <v>57</v>
      </c>
    </row>
    <row r="43" spans="1:6" ht="31.5" customHeight="1" x14ac:dyDescent="0.25">
      <c r="A43" s="29" t="s">
        <v>3259</v>
      </c>
      <c r="B43" s="26"/>
      <c r="C43" s="26"/>
      <c r="D43" s="26" t="s">
        <v>3260</v>
      </c>
      <c r="E43" s="26" t="s">
        <v>3261</v>
      </c>
      <c r="F43" s="26" t="s">
        <v>145</v>
      </c>
    </row>
    <row r="44" spans="1:6" ht="41.25" customHeight="1" x14ac:dyDescent="0.25">
      <c r="A44" s="29" t="s">
        <v>3265</v>
      </c>
      <c r="B44" s="26" t="s">
        <v>1794</v>
      </c>
      <c r="C44" s="26" t="s">
        <v>1041</v>
      </c>
      <c r="D44" s="26" t="s">
        <v>3266</v>
      </c>
      <c r="E44" s="26" t="s">
        <v>3267</v>
      </c>
      <c r="F44" s="26" t="s">
        <v>46</v>
      </c>
    </row>
    <row r="45" spans="1:6" ht="40.5" customHeight="1" x14ac:dyDescent="0.25">
      <c r="A45" s="29" t="s">
        <v>3403</v>
      </c>
      <c r="B45" s="26" t="s">
        <v>3404</v>
      </c>
      <c r="C45" s="26"/>
      <c r="D45" s="26" t="s">
        <v>3405</v>
      </c>
      <c r="E45" s="26" t="s">
        <v>3406</v>
      </c>
      <c r="F45" s="26" t="s">
        <v>3407</v>
      </c>
    </row>
    <row r="46" spans="1:6" ht="34.5" customHeight="1" x14ac:dyDescent="0.25">
      <c r="A46" s="29" t="s">
        <v>3297</v>
      </c>
      <c r="B46" s="26"/>
      <c r="C46" s="26"/>
      <c r="D46" s="26" t="s">
        <v>3298</v>
      </c>
      <c r="E46" s="26" t="s">
        <v>3299</v>
      </c>
      <c r="F46" s="26" t="s">
        <v>145</v>
      </c>
    </row>
    <row r="47" spans="1:6" ht="33.75" customHeight="1" x14ac:dyDescent="0.25">
      <c r="A47" s="29" t="s">
        <v>3268</v>
      </c>
      <c r="B47" s="26"/>
      <c r="C47" s="26"/>
      <c r="D47" s="26" t="s">
        <v>3269</v>
      </c>
      <c r="E47" s="26" t="s">
        <v>3270</v>
      </c>
      <c r="F47" s="26" t="s">
        <v>145</v>
      </c>
    </row>
    <row r="48" spans="1:6" ht="36" customHeight="1" x14ac:dyDescent="0.25">
      <c r="A48" s="29" t="s">
        <v>3423</v>
      </c>
      <c r="B48" s="26" t="s">
        <v>3424</v>
      </c>
      <c r="C48" s="26"/>
      <c r="D48" s="26" t="s">
        <v>3298</v>
      </c>
      <c r="E48" s="26" t="s">
        <v>3425</v>
      </c>
      <c r="F48" s="26" t="s">
        <v>145</v>
      </c>
    </row>
    <row r="49" spans="1:6" ht="36" customHeight="1" x14ac:dyDescent="0.25">
      <c r="A49" s="29" t="s">
        <v>3475</v>
      </c>
      <c r="B49" s="26" t="s">
        <v>3476</v>
      </c>
      <c r="C49" s="26" t="s">
        <v>2220</v>
      </c>
      <c r="D49" s="26" t="s">
        <v>75</v>
      </c>
      <c r="E49" s="26" t="s">
        <v>3477</v>
      </c>
      <c r="F49" s="26" t="s">
        <v>3478</v>
      </c>
    </row>
    <row r="50" spans="1:6" ht="44.25" customHeight="1" x14ac:dyDescent="0.25">
      <c r="A50" s="29" t="s">
        <v>3198</v>
      </c>
      <c r="B50" s="26" t="s">
        <v>3199</v>
      </c>
      <c r="C50" s="26"/>
      <c r="D50" s="26" t="s">
        <v>2737</v>
      </c>
      <c r="E50" s="26" t="s">
        <v>3200</v>
      </c>
      <c r="F50" s="26" t="s">
        <v>145</v>
      </c>
    </row>
    <row r="51" spans="1:6" ht="39" customHeight="1" x14ac:dyDescent="0.25">
      <c r="A51" s="29" t="s">
        <v>3577</v>
      </c>
      <c r="B51" s="26" t="s">
        <v>3578</v>
      </c>
      <c r="C51" s="26"/>
      <c r="D51" s="26" t="s">
        <v>3579</v>
      </c>
      <c r="E51" s="26" t="s">
        <v>3580</v>
      </c>
      <c r="F51" s="26" t="s">
        <v>3033</v>
      </c>
    </row>
    <row r="52" spans="1:6" ht="51" customHeight="1" x14ac:dyDescent="0.25">
      <c r="A52" s="29" t="s">
        <v>3748</v>
      </c>
      <c r="B52" s="26" t="s">
        <v>3749</v>
      </c>
      <c r="C52" s="26"/>
      <c r="D52" s="26" t="s">
        <v>3750</v>
      </c>
      <c r="E52" s="26" t="s">
        <v>3751</v>
      </c>
      <c r="F52" s="26" t="s">
        <v>3744</v>
      </c>
    </row>
    <row r="53" spans="1:6" ht="43.5" customHeight="1" x14ac:dyDescent="0.25">
      <c r="A53" s="29" t="s">
        <v>3740</v>
      </c>
      <c r="B53" s="26" t="s">
        <v>3741</v>
      </c>
      <c r="C53" s="26"/>
      <c r="D53" s="26" t="s">
        <v>3742</v>
      </c>
      <c r="E53" s="26" t="s">
        <v>3743</v>
      </c>
      <c r="F53" s="26" t="s">
        <v>3744</v>
      </c>
    </row>
    <row r="54" spans="1:6" ht="42.75" customHeight="1" x14ac:dyDescent="0.25">
      <c r="A54" s="29" t="s">
        <v>3461</v>
      </c>
      <c r="B54" s="26" t="s">
        <v>3462</v>
      </c>
      <c r="C54" s="26"/>
      <c r="D54" s="26" t="s">
        <v>3463</v>
      </c>
      <c r="E54" s="26" t="s">
        <v>3464</v>
      </c>
      <c r="F54" s="26" t="s">
        <v>13</v>
      </c>
    </row>
    <row r="55" spans="1:6" ht="42.75" customHeight="1" x14ac:dyDescent="0.25">
      <c r="A55" s="29" t="s">
        <v>3195</v>
      </c>
      <c r="B55" s="26"/>
      <c r="C55" s="26"/>
      <c r="D55" s="26" t="s">
        <v>3196</v>
      </c>
      <c r="E55" s="26" t="s">
        <v>3197</v>
      </c>
      <c r="F55" s="26" t="s">
        <v>145</v>
      </c>
    </row>
    <row r="56" spans="1:6" ht="50.25" customHeight="1" x14ac:dyDescent="0.25">
      <c r="A56" s="29" t="s">
        <v>3493</v>
      </c>
      <c r="B56" s="26" t="s">
        <v>3494</v>
      </c>
      <c r="C56" s="26"/>
      <c r="D56" s="26" t="s">
        <v>3495</v>
      </c>
      <c r="E56" s="26" t="s">
        <v>3496</v>
      </c>
      <c r="F56" s="26" t="s">
        <v>13</v>
      </c>
    </row>
    <row r="57" spans="1:6" ht="50.25" customHeight="1" x14ac:dyDescent="0.25">
      <c r="A57" s="29" t="s">
        <v>3711</v>
      </c>
      <c r="B57" s="26"/>
      <c r="C57" s="26"/>
      <c r="D57" s="26" t="s">
        <v>3712</v>
      </c>
      <c r="E57" s="26" t="s">
        <v>3713</v>
      </c>
      <c r="F57" s="26" t="s">
        <v>632</v>
      </c>
    </row>
    <row r="58" spans="1:6" ht="54.75" customHeight="1" x14ac:dyDescent="0.25">
      <c r="A58" s="29" t="s">
        <v>3528</v>
      </c>
      <c r="B58" s="26" t="s">
        <v>3476</v>
      </c>
      <c r="C58" s="26"/>
      <c r="D58" s="26" t="s">
        <v>3529</v>
      </c>
      <c r="E58" s="26" t="s">
        <v>3530</v>
      </c>
      <c r="F58" s="26" t="s">
        <v>145</v>
      </c>
    </row>
    <row r="59" spans="1:6" ht="46.5" customHeight="1" x14ac:dyDescent="0.25">
      <c r="A59" s="29" t="s">
        <v>3207</v>
      </c>
      <c r="B59" s="26"/>
      <c r="C59" s="26"/>
      <c r="D59" s="26" t="s">
        <v>3208</v>
      </c>
      <c r="E59" s="26" t="s">
        <v>3209</v>
      </c>
      <c r="F59" s="26" t="s">
        <v>145</v>
      </c>
    </row>
    <row r="60" spans="1:6" ht="57" customHeight="1" x14ac:dyDescent="0.25">
      <c r="A60" s="29" t="s">
        <v>3201</v>
      </c>
      <c r="B60" s="26"/>
      <c r="C60" s="26"/>
      <c r="D60" s="26" t="s">
        <v>3202</v>
      </c>
      <c r="E60" s="26" t="s">
        <v>3203</v>
      </c>
      <c r="F60" s="26" t="s">
        <v>145</v>
      </c>
    </row>
    <row r="61" spans="1:6" ht="48" customHeight="1" x14ac:dyDescent="0.25">
      <c r="A61" s="29" t="s">
        <v>3724</v>
      </c>
      <c r="B61" s="26" t="s">
        <v>3725</v>
      </c>
      <c r="C61" s="26"/>
      <c r="D61" s="26" t="s">
        <v>3431</v>
      </c>
      <c r="E61" s="26" t="s">
        <v>3726</v>
      </c>
      <c r="F61" s="26" t="s">
        <v>13</v>
      </c>
    </row>
    <row r="62" spans="1:6" ht="62.25" customHeight="1" x14ac:dyDescent="0.25">
      <c r="A62" s="29" t="s">
        <v>3353</v>
      </c>
      <c r="B62" s="26"/>
      <c r="C62" s="26"/>
      <c r="D62" s="26" t="s">
        <v>3354</v>
      </c>
      <c r="E62" s="26" t="s">
        <v>3355</v>
      </c>
      <c r="F62" s="26" t="s">
        <v>145</v>
      </c>
    </row>
    <row r="63" spans="1:6" ht="62.25" customHeight="1" x14ac:dyDescent="0.25">
      <c r="A63" s="29" t="s">
        <v>3541</v>
      </c>
      <c r="B63" s="26" t="s">
        <v>3542</v>
      </c>
      <c r="C63" s="26"/>
      <c r="D63" s="26" t="s">
        <v>3543</v>
      </c>
      <c r="E63" s="26" t="s">
        <v>3544</v>
      </c>
      <c r="F63" s="26" t="s">
        <v>145</v>
      </c>
    </row>
    <row r="64" spans="1:6" ht="62.25" customHeight="1" x14ac:dyDescent="0.25">
      <c r="A64" s="29" t="s">
        <v>3678</v>
      </c>
      <c r="B64" s="26"/>
      <c r="C64" s="26"/>
      <c r="D64" s="26" t="s">
        <v>3679</v>
      </c>
      <c r="E64" s="26" t="s">
        <v>3680</v>
      </c>
      <c r="F64" s="26" t="s">
        <v>145</v>
      </c>
    </row>
    <row r="65" spans="1:6" ht="62.25" customHeight="1" x14ac:dyDescent="0.25">
      <c r="A65" s="29" t="s">
        <v>3338</v>
      </c>
      <c r="B65" s="26"/>
      <c r="C65" s="26"/>
      <c r="D65" s="26" t="s">
        <v>3339</v>
      </c>
      <c r="E65" s="26" t="s">
        <v>3340</v>
      </c>
      <c r="F65" s="26" t="s">
        <v>145</v>
      </c>
    </row>
    <row r="66" spans="1:6" ht="62.25" customHeight="1" x14ac:dyDescent="0.25">
      <c r="A66" s="29" t="s">
        <v>3675</v>
      </c>
      <c r="B66" s="26"/>
      <c r="C66" s="26"/>
      <c r="D66" s="26" t="s">
        <v>3676</v>
      </c>
      <c r="E66" s="26" t="s">
        <v>3677</v>
      </c>
      <c r="F66" s="26" t="s">
        <v>74</v>
      </c>
    </row>
    <row r="67" spans="1:6" ht="62.25" customHeight="1" x14ac:dyDescent="0.25">
      <c r="A67" s="29" t="s">
        <v>3736</v>
      </c>
      <c r="B67" s="26" t="s">
        <v>3737</v>
      </c>
      <c r="C67" s="26"/>
      <c r="D67" s="26" t="s">
        <v>3738</v>
      </c>
      <c r="E67" s="26" t="s">
        <v>3739</v>
      </c>
      <c r="F67" s="26" t="s">
        <v>13</v>
      </c>
    </row>
    <row r="68" spans="1:6" ht="62.25" customHeight="1" x14ac:dyDescent="0.25">
      <c r="A68" s="29" t="s">
        <v>3177</v>
      </c>
      <c r="B68" s="26" t="s">
        <v>3178</v>
      </c>
      <c r="C68" s="26"/>
      <c r="D68" s="26" t="s">
        <v>3179</v>
      </c>
      <c r="E68" s="26" t="s">
        <v>3180</v>
      </c>
      <c r="F68" s="26" t="s">
        <v>2847</v>
      </c>
    </row>
    <row r="69" spans="1:6" ht="62.25" customHeight="1" x14ac:dyDescent="0.25">
      <c r="A69" s="29" t="s">
        <v>3378</v>
      </c>
      <c r="B69" s="26"/>
      <c r="C69" s="26"/>
      <c r="D69" s="26" t="s">
        <v>3257</v>
      </c>
      <c r="E69" s="26" t="s">
        <v>3379</v>
      </c>
      <c r="F69" s="26" t="s">
        <v>145</v>
      </c>
    </row>
    <row r="70" spans="1:6" ht="51" customHeight="1" x14ac:dyDescent="0.25">
      <c r="A70" s="29" t="s">
        <v>3384</v>
      </c>
      <c r="B70" s="26"/>
      <c r="C70" s="26"/>
      <c r="D70" s="26" t="s">
        <v>3385</v>
      </c>
      <c r="E70" s="26" t="s">
        <v>3386</v>
      </c>
      <c r="F70" s="26" t="s">
        <v>145</v>
      </c>
    </row>
    <row r="71" spans="1:6" ht="62.25" customHeight="1" x14ac:dyDescent="0.25">
      <c r="A71" s="29" t="s">
        <v>3610</v>
      </c>
      <c r="B71" s="26"/>
      <c r="C71" s="26"/>
      <c r="D71" s="26" t="s">
        <v>3611</v>
      </c>
      <c r="E71" s="26" t="s">
        <v>3612</v>
      </c>
      <c r="F71" s="26" t="s">
        <v>46</v>
      </c>
    </row>
    <row r="72" spans="1:6" ht="62.25" customHeight="1" x14ac:dyDescent="0.25">
      <c r="A72" s="29" t="s">
        <v>3433</v>
      </c>
      <c r="B72" s="26" t="s">
        <v>3434</v>
      </c>
      <c r="C72" s="26"/>
      <c r="D72" s="26" t="s">
        <v>3435</v>
      </c>
      <c r="E72" s="26" t="s">
        <v>3436</v>
      </c>
      <c r="F72" s="26" t="s">
        <v>46</v>
      </c>
    </row>
    <row r="73" spans="1:6" ht="62.25" customHeight="1" x14ac:dyDescent="0.25">
      <c r="A73" s="29" t="s">
        <v>3276</v>
      </c>
      <c r="B73" s="26" t="s">
        <v>3277</v>
      </c>
      <c r="C73" s="26"/>
      <c r="D73" s="26" t="s">
        <v>3278</v>
      </c>
      <c r="E73" s="26" t="s">
        <v>3279</v>
      </c>
      <c r="F73" s="26" t="s">
        <v>145</v>
      </c>
    </row>
    <row r="74" spans="1:6" ht="62.25" customHeight="1" x14ac:dyDescent="0.25">
      <c r="A74" s="29" t="s">
        <v>3545</v>
      </c>
      <c r="B74" s="26"/>
      <c r="C74" s="26"/>
      <c r="D74" s="26" t="s">
        <v>3546</v>
      </c>
      <c r="E74" s="26" t="s">
        <v>3547</v>
      </c>
      <c r="F74" s="26" t="s">
        <v>46</v>
      </c>
    </row>
    <row r="75" spans="1:6" ht="62.25" customHeight="1" x14ac:dyDescent="0.25">
      <c r="A75" s="29" t="s">
        <v>3627</v>
      </c>
      <c r="B75" s="26"/>
      <c r="C75" s="26"/>
      <c r="D75" s="26" t="s">
        <v>3278</v>
      </c>
      <c r="E75" s="26" t="s">
        <v>3628</v>
      </c>
      <c r="F75" s="26" t="s">
        <v>145</v>
      </c>
    </row>
    <row r="76" spans="1:6" ht="39.75" customHeight="1" x14ac:dyDescent="0.25">
      <c r="A76" s="29" t="s">
        <v>3283</v>
      </c>
      <c r="B76" s="26" t="s">
        <v>3284</v>
      </c>
      <c r="C76" s="26"/>
      <c r="D76" s="26" t="s">
        <v>3285</v>
      </c>
      <c r="E76" s="26" t="s">
        <v>3286</v>
      </c>
      <c r="F76" s="26" t="s">
        <v>46</v>
      </c>
    </row>
    <row r="77" spans="1:6" ht="45.75" customHeight="1" x14ac:dyDescent="0.25">
      <c r="A77" s="29" t="s">
        <v>3537</v>
      </c>
      <c r="B77" s="26"/>
      <c r="C77" s="26"/>
      <c r="D77" s="26" t="s">
        <v>1802</v>
      </c>
      <c r="E77" s="26" t="s">
        <v>3538</v>
      </c>
      <c r="F77" s="26" t="s">
        <v>3508</v>
      </c>
    </row>
    <row r="78" spans="1:6" ht="41.25" customHeight="1" x14ac:dyDescent="0.25">
      <c r="A78" s="29" t="s">
        <v>3315</v>
      </c>
      <c r="B78" s="26"/>
      <c r="C78" s="26"/>
      <c r="D78" s="26" t="s">
        <v>2737</v>
      </c>
      <c r="E78" s="26" t="s">
        <v>3316</v>
      </c>
      <c r="F78" s="26" t="s">
        <v>26</v>
      </c>
    </row>
    <row r="79" spans="1:6" ht="38.25" customHeight="1" x14ac:dyDescent="0.25">
      <c r="A79" s="29" t="s">
        <v>3397</v>
      </c>
      <c r="B79" s="26"/>
      <c r="C79" s="26"/>
      <c r="D79" s="26" t="s">
        <v>3398</v>
      </c>
      <c r="E79" s="26" t="s">
        <v>3399</v>
      </c>
      <c r="F79" s="26" t="s">
        <v>145</v>
      </c>
    </row>
    <row r="80" spans="1:6" ht="43.5" customHeight="1" x14ac:dyDescent="0.25">
      <c r="A80" s="29" t="s">
        <v>3560</v>
      </c>
      <c r="B80" s="26" t="s">
        <v>3561</v>
      </c>
      <c r="C80" s="26"/>
      <c r="D80" s="26" t="s">
        <v>3562</v>
      </c>
      <c r="E80" s="26" t="s">
        <v>3563</v>
      </c>
      <c r="F80" s="26" t="s">
        <v>74</v>
      </c>
    </row>
    <row r="81" spans="1:6" ht="47.25" customHeight="1" x14ac:dyDescent="0.25">
      <c r="A81" s="29" t="s">
        <v>3229</v>
      </c>
      <c r="B81" s="26" t="s">
        <v>3230</v>
      </c>
      <c r="C81" s="26"/>
      <c r="D81" s="26" t="s">
        <v>3231</v>
      </c>
      <c r="E81" s="26" t="s">
        <v>3232</v>
      </c>
      <c r="F81" s="26" t="s">
        <v>13</v>
      </c>
    </row>
    <row r="82" spans="1:6" ht="41.25" customHeight="1" x14ac:dyDescent="0.25">
      <c r="A82" s="29" t="s">
        <v>3239</v>
      </c>
      <c r="B82" s="26" t="s">
        <v>3240</v>
      </c>
      <c r="C82" s="26"/>
      <c r="D82" s="26" t="s">
        <v>3241</v>
      </c>
      <c r="E82" s="26" t="s">
        <v>3242</v>
      </c>
      <c r="F82" s="26" t="s">
        <v>74</v>
      </c>
    </row>
    <row r="83" spans="1:6" ht="42.75" customHeight="1" x14ac:dyDescent="0.25">
      <c r="A83" s="29" t="s">
        <v>3644</v>
      </c>
      <c r="B83" s="26" t="s">
        <v>3645</v>
      </c>
      <c r="C83" s="26" t="s">
        <v>1871</v>
      </c>
      <c r="D83" s="26" t="s">
        <v>3646</v>
      </c>
      <c r="E83" s="26" t="s">
        <v>3647</v>
      </c>
      <c r="F83" s="26" t="s">
        <v>13</v>
      </c>
    </row>
    <row r="84" spans="1:6" ht="42" customHeight="1" x14ac:dyDescent="0.25">
      <c r="A84" s="29" t="s">
        <v>3447</v>
      </c>
      <c r="B84" s="26" t="s">
        <v>3448</v>
      </c>
      <c r="C84" s="26"/>
      <c r="D84" s="26" t="s">
        <v>3449</v>
      </c>
      <c r="E84" s="26" t="s">
        <v>3450</v>
      </c>
      <c r="F84" s="26" t="s">
        <v>74</v>
      </c>
    </row>
    <row r="85" spans="1:6" ht="42.75" customHeight="1" x14ac:dyDescent="0.25">
      <c r="A85" s="29" t="s">
        <v>3309</v>
      </c>
      <c r="B85" s="26" t="s">
        <v>3310</v>
      </c>
      <c r="C85" s="26"/>
      <c r="D85" s="26" t="s">
        <v>3311</v>
      </c>
      <c r="E85" s="26" t="s">
        <v>3312</v>
      </c>
      <c r="F85" s="26" t="s">
        <v>145</v>
      </c>
    </row>
    <row r="86" spans="1:6" ht="45" customHeight="1" x14ac:dyDescent="0.25">
      <c r="A86" s="29" t="s">
        <v>3637</v>
      </c>
      <c r="B86" s="26" t="s">
        <v>3638</v>
      </c>
      <c r="C86" s="26"/>
      <c r="D86" s="26" t="s">
        <v>3639</v>
      </c>
      <c r="E86" s="26" t="s">
        <v>3640</v>
      </c>
      <c r="F86" s="26" t="s">
        <v>13</v>
      </c>
    </row>
    <row r="87" spans="1:6" ht="45" customHeight="1" x14ac:dyDescent="0.25">
      <c r="A87" s="29" t="s">
        <v>3426</v>
      </c>
      <c r="B87" s="26" t="s">
        <v>3427</v>
      </c>
      <c r="C87" s="26"/>
      <c r="D87" s="26" t="s">
        <v>3428</v>
      </c>
      <c r="E87" s="26" t="s">
        <v>3429</v>
      </c>
      <c r="F87" s="26" t="s">
        <v>13</v>
      </c>
    </row>
    <row r="88" spans="1:6" ht="45" customHeight="1" x14ac:dyDescent="0.25">
      <c r="A88" s="29" t="s">
        <v>3714</v>
      </c>
      <c r="B88" s="26" t="s">
        <v>3715</v>
      </c>
      <c r="C88" s="26"/>
      <c r="D88" s="26" t="s">
        <v>3716</v>
      </c>
      <c r="E88" s="26" t="s">
        <v>3717</v>
      </c>
      <c r="F88" s="26" t="s">
        <v>13</v>
      </c>
    </row>
    <row r="89" spans="1:6" ht="45" customHeight="1" x14ac:dyDescent="0.25">
      <c r="A89" s="29" t="s">
        <v>3564</v>
      </c>
      <c r="B89" s="26"/>
      <c r="C89" s="26"/>
      <c r="D89" s="26" t="s">
        <v>3565</v>
      </c>
      <c r="E89" s="26" t="s">
        <v>3566</v>
      </c>
      <c r="F89" s="26" t="s">
        <v>145</v>
      </c>
    </row>
    <row r="90" spans="1:6" ht="62.25" customHeight="1" x14ac:dyDescent="0.25">
      <c r="A90" s="29" t="s">
        <v>3727</v>
      </c>
      <c r="B90" s="26"/>
      <c r="C90" s="26"/>
      <c r="D90" s="26" t="s">
        <v>3728</v>
      </c>
      <c r="E90" s="26" t="s">
        <v>3729</v>
      </c>
      <c r="F90" s="26" t="s">
        <v>13</v>
      </c>
    </row>
    <row r="91" spans="1:6" ht="49.5" customHeight="1" x14ac:dyDescent="0.25">
      <c r="A91" s="29" t="s">
        <v>3591</v>
      </c>
      <c r="B91" s="26"/>
      <c r="C91" s="26"/>
      <c r="D91" s="26" t="s">
        <v>3592</v>
      </c>
      <c r="E91" s="26" t="s">
        <v>3593</v>
      </c>
      <c r="F91" s="26" t="s">
        <v>26</v>
      </c>
    </row>
    <row r="92" spans="1:6" ht="46.5" customHeight="1" x14ac:dyDescent="0.25">
      <c r="A92" s="29" t="s">
        <v>3696</v>
      </c>
      <c r="B92" s="26" t="s">
        <v>3697</v>
      </c>
      <c r="C92" s="26"/>
      <c r="D92" s="26" t="s">
        <v>3698</v>
      </c>
      <c r="E92" s="26" t="s">
        <v>3699</v>
      </c>
      <c r="F92" s="26" t="s">
        <v>13</v>
      </c>
    </row>
    <row r="93" spans="1:6" ht="46.5" customHeight="1" x14ac:dyDescent="0.25">
      <c r="A93" s="29" t="s">
        <v>3273</v>
      </c>
      <c r="B93" s="26" t="s">
        <v>3274</v>
      </c>
      <c r="C93" s="26"/>
      <c r="D93" s="26" t="s">
        <v>2005</v>
      </c>
      <c r="E93" s="26" t="s">
        <v>3275</v>
      </c>
      <c r="F93" s="26" t="s">
        <v>145</v>
      </c>
    </row>
    <row r="94" spans="1:6" ht="50.25" customHeight="1" x14ac:dyDescent="0.25">
      <c r="A94" s="29" t="s">
        <v>3515</v>
      </c>
      <c r="B94" s="26" t="s">
        <v>3516</v>
      </c>
      <c r="C94" s="26"/>
      <c r="D94" s="26" t="s">
        <v>3517</v>
      </c>
      <c r="E94" s="26" t="s">
        <v>3518</v>
      </c>
      <c r="F94" s="26" t="s">
        <v>3519</v>
      </c>
    </row>
    <row r="95" spans="1:6" ht="42.75" customHeight="1" x14ac:dyDescent="0.25">
      <c r="A95" s="29" t="s">
        <v>3752</v>
      </c>
      <c r="B95" s="26"/>
      <c r="C95" s="26"/>
      <c r="D95" s="26" t="s">
        <v>3753</v>
      </c>
      <c r="E95" s="26" t="s">
        <v>3754</v>
      </c>
      <c r="F95" s="26" t="s">
        <v>26</v>
      </c>
    </row>
    <row r="96" spans="1:6" ht="62.25" customHeight="1" x14ac:dyDescent="0.25">
      <c r="A96" s="29" t="s">
        <v>3419</v>
      </c>
      <c r="B96" s="26" t="s">
        <v>3420</v>
      </c>
      <c r="C96" s="26"/>
      <c r="D96" s="26" t="s">
        <v>3421</v>
      </c>
      <c r="E96" s="26" t="s">
        <v>3422</v>
      </c>
      <c r="F96" s="26" t="s">
        <v>145</v>
      </c>
    </row>
    <row r="97" spans="1:6" ht="46.5" customHeight="1" x14ac:dyDescent="0.25">
      <c r="A97" s="29" t="s">
        <v>3557</v>
      </c>
      <c r="B97" s="26"/>
      <c r="C97" s="26"/>
      <c r="D97" s="26" t="s">
        <v>3558</v>
      </c>
      <c r="E97" s="26" t="s">
        <v>3559</v>
      </c>
      <c r="F97" s="26" t="s">
        <v>145</v>
      </c>
    </row>
    <row r="98" spans="1:6" ht="48" customHeight="1" x14ac:dyDescent="0.25">
      <c r="A98" s="29" t="s">
        <v>3416</v>
      </c>
      <c r="B98" s="26"/>
      <c r="C98" s="26"/>
      <c r="D98" s="26" t="s">
        <v>3417</v>
      </c>
      <c r="E98" s="26" t="s">
        <v>3418</v>
      </c>
      <c r="F98" s="26" t="s">
        <v>46</v>
      </c>
    </row>
    <row r="99" spans="1:6" ht="45.75" customHeight="1" x14ac:dyDescent="0.25">
      <c r="A99" s="29" t="s">
        <v>3400</v>
      </c>
      <c r="B99" s="26" t="s">
        <v>3401</v>
      </c>
      <c r="C99" s="26"/>
      <c r="D99" s="26" t="s">
        <v>2963</v>
      </c>
      <c r="E99" s="26" t="s">
        <v>3402</v>
      </c>
      <c r="F99" s="26" t="s">
        <v>1382</v>
      </c>
    </row>
    <row r="100" spans="1:6" ht="62.25" customHeight="1" x14ac:dyDescent="0.25">
      <c r="A100" s="29" t="s">
        <v>3248</v>
      </c>
      <c r="B100" s="26"/>
      <c r="C100" s="26"/>
      <c r="D100" s="26" t="s">
        <v>3249</v>
      </c>
      <c r="E100" s="26" t="s">
        <v>3250</v>
      </c>
      <c r="F100" s="26" t="s">
        <v>3251</v>
      </c>
    </row>
    <row r="101" spans="1:6" ht="62.25" customHeight="1" x14ac:dyDescent="0.25">
      <c r="A101" s="29" t="s">
        <v>3759</v>
      </c>
      <c r="B101" s="26" t="s">
        <v>3760</v>
      </c>
      <c r="C101" s="26"/>
      <c r="D101" s="26" t="s">
        <v>3761</v>
      </c>
      <c r="E101" s="26" t="s">
        <v>3762</v>
      </c>
      <c r="F101" s="26" t="s">
        <v>3744</v>
      </c>
    </row>
    <row r="102" spans="1:6" ht="62.25" customHeight="1" x14ac:dyDescent="0.25">
      <c r="A102" s="29" t="s">
        <v>3684</v>
      </c>
      <c r="B102" s="26"/>
      <c r="C102" s="26"/>
      <c r="D102" s="26" t="s">
        <v>3685</v>
      </c>
      <c r="E102" s="26" t="s">
        <v>3686</v>
      </c>
      <c r="F102" s="26" t="s">
        <v>74</v>
      </c>
    </row>
    <row r="103" spans="1:6" ht="62.25" customHeight="1" x14ac:dyDescent="0.25">
      <c r="A103" s="29" t="s">
        <v>3684</v>
      </c>
      <c r="B103" s="26"/>
      <c r="C103" s="26"/>
      <c r="D103" s="26" t="s">
        <v>3685</v>
      </c>
      <c r="E103" s="26" t="s">
        <v>3687</v>
      </c>
      <c r="F103" s="26" t="s">
        <v>74</v>
      </c>
    </row>
    <row r="104" spans="1:6" ht="62.25" customHeight="1" x14ac:dyDescent="0.25">
      <c r="A104" s="29" t="s">
        <v>3325</v>
      </c>
      <c r="B104" s="26" t="s">
        <v>3326</v>
      </c>
      <c r="C104" s="26"/>
      <c r="D104" s="26" t="s">
        <v>3327</v>
      </c>
      <c r="E104" s="26" t="s">
        <v>3328</v>
      </c>
      <c r="F104" s="26" t="s">
        <v>145</v>
      </c>
    </row>
    <row r="105" spans="1:6" ht="62.25" customHeight="1" x14ac:dyDescent="0.25">
      <c r="A105" s="29" t="s">
        <v>3302</v>
      </c>
      <c r="B105" s="26"/>
      <c r="C105" s="26"/>
      <c r="D105" s="26" t="s">
        <v>3303</v>
      </c>
      <c r="E105" s="26" t="s">
        <v>3304</v>
      </c>
      <c r="F105" s="26" t="s">
        <v>145</v>
      </c>
    </row>
    <row r="106" spans="1:6" ht="62.25" customHeight="1" x14ac:dyDescent="0.25">
      <c r="A106" s="29" t="s">
        <v>3360</v>
      </c>
      <c r="B106" s="26"/>
      <c r="C106" s="26"/>
      <c r="D106" s="26" t="s">
        <v>3361</v>
      </c>
      <c r="E106" s="26" t="s">
        <v>3362</v>
      </c>
      <c r="F106" s="26" t="s">
        <v>145</v>
      </c>
    </row>
    <row r="107" spans="1:6" ht="62.25" customHeight="1" x14ac:dyDescent="0.25">
      <c r="A107" s="29" t="s">
        <v>3661</v>
      </c>
      <c r="B107" s="26"/>
      <c r="C107" s="26"/>
      <c r="D107" s="26" t="s">
        <v>3662</v>
      </c>
      <c r="E107" s="26" t="s">
        <v>3362</v>
      </c>
      <c r="F107" s="26" t="s">
        <v>145</v>
      </c>
    </row>
    <row r="108" spans="1:6" ht="62.25" customHeight="1" x14ac:dyDescent="0.25">
      <c r="A108" s="29" t="s">
        <v>3670</v>
      </c>
      <c r="B108" s="26"/>
      <c r="C108" s="26"/>
      <c r="D108" s="26" t="s">
        <v>3668</v>
      </c>
      <c r="E108" s="26" t="s">
        <v>3671</v>
      </c>
      <c r="F108" s="26" t="s">
        <v>145</v>
      </c>
    </row>
    <row r="109" spans="1:6" ht="62.25" customHeight="1" x14ac:dyDescent="0.25">
      <c r="A109" s="29" t="s">
        <v>3458</v>
      </c>
      <c r="B109" s="26"/>
      <c r="C109" s="26"/>
      <c r="D109" s="26" t="s">
        <v>3459</v>
      </c>
      <c r="E109" s="26" t="s">
        <v>3460</v>
      </c>
      <c r="F109" s="26" t="s">
        <v>145</v>
      </c>
    </row>
    <row r="110" spans="1:6" ht="62.25" customHeight="1" x14ac:dyDescent="0.25">
      <c r="A110" s="29" t="s">
        <v>3548</v>
      </c>
      <c r="B110" s="26"/>
      <c r="C110" s="26"/>
      <c r="D110" s="26" t="s">
        <v>3549</v>
      </c>
      <c r="E110" s="26" t="s">
        <v>3550</v>
      </c>
      <c r="F110" s="26" t="s">
        <v>145</v>
      </c>
    </row>
    <row r="111" spans="1:6" ht="62.25" customHeight="1" x14ac:dyDescent="0.25">
      <c r="A111" s="29" t="s">
        <v>3653</v>
      </c>
      <c r="B111" s="26" t="s">
        <v>3654</v>
      </c>
      <c r="C111" s="26"/>
      <c r="D111" s="26" t="s">
        <v>3655</v>
      </c>
      <c r="E111" s="26" t="s">
        <v>3656</v>
      </c>
      <c r="F111" s="26" t="s">
        <v>13</v>
      </c>
    </row>
    <row r="112" spans="1:6" ht="62.25" customHeight="1" x14ac:dyDescent="0.25">
      <c r="A112" s="29" t="s">
        <v>3356</v>
      </c>
      <c r="B112" s="26" t="s">
        <v>3357</v>
      </c>
      <c r="C112" s="26"/>
      <c r="D112" s="26" t="s">
        <v>3358</v>
      </c>
      <c r="E112" s="26" t="s">
        <v>3359</v>
      </c>
      <c r="F112" s="26" t="s">
        <v>145</v>
      </c>
    </row>
    <row r="113" spans="1:6" ht="62.25" customHeight="1" x14ac:dyDescent="0.25">
      <c r="A113" s="29" t="s">
        <v>3620</v>
      </c>
      <c r="B113" s="26" t="s">
        <v>3621</v>
      </c>
      <c r="C113" s="26"/>
      <c r="D113" s="26" t="s">
        <v>3622</v>
      </c>
      <c r="E113" s="26" t="s">
        <v>3623</v>
      </c>
      <c r="F113" s="26" t="s">
        <v>145</v>
      </c>
    </row>
    <row r="114" spans="1:6" ht="62.25" customHeight="1" x14ac:dyDescent="0.25">
      <c r="A114" s="29" t="s">
        <v>3174</v>
      </c>
      <c r="B114" s="26"/>
      <c r="C114" s="26"/>
      <c r="D114" s="26" t="s">
        <v>3175</v>
      </c>
      <c r="E114" s="26" t="s">
        <v>3176</v>
      </c>
      <c r="F114" s="26" t="s">
        <v>57</v>
      </c>
    </row>
    <row r="115" spans="1:6" ht="62.25" customHeight="1" x14ac:dyDescent="0.25">
      <c r="A115" s="29" t="s">
        <v>3594</v>
      </c>
      <c r="B115" s="26" t="s">
        <v>3595</v>
      </c>
      <c r="C115" s="26" t="s">
        <v>1875</v>
      </c>
      <c r="D115" s="26" t="s">
        <v>3285</v>
      </c>
      <c r="E115" s="26" t="s">
        <v>3596</v>
      </c>
      <c r="F115" s="26" t="s">
        <v>46</v>
      </c>
    </row>
    <row r="116" spans="1:6" ht="62.25" customHeight="1" x14ac:dyDescent="0.25">
      <c r="A116" s="29" t="s">
        <v>3479</v>
      </c>
      <c r="B116" s="26"/>
      <c r="C116" s="26"/>
      <c r="D116" s="26" t="s">
        <v>3480</v>
      </c>
      <c r="E116" s="26" t="s">
        <v>3481</v>
      </c>
      <c r="F116" s="26" t="s">
        <v>46</v>
      </c>
    </row>
    <row r="117" spans="1:6" ht="62.25" customHeight="1" x14ac:dyDescent="0.25">
      <c r="A117" s="29" t="s">
        <v>3300</v>
      </c>
      <c r="B117" s="26"/>
      <c r="C117" s="26"/>
      <c r="D117" s="26" t="s">
        <v>3301</v>
      </c>
      <c r="E117" s="26" t="s">
        <v>3289</v>
      </c>
      <c r="F117" s="26" t="s">
        <v>26</v>
      </c>
    </row>
    <row r="118" spans="1:6" ht="62.25" customHeight="1" x14ac:dyDescent="0.25">
      <c r="A118" s="29" t="s">
        <v>3509</v>
      </c>
      <c r="B118" s="26" t="s">
        <v>3510</v>
      </c>
      <c r="C118" s="26"/>
      <c r="D118" s="26" t="s">
        <v>3511</v>
      </c>
      <c r="E118" s="26" t="s">
        <v>3512</v>
      </c>
      <c r="F118" s="26" t="s">
        <v>145</v>
      </c>
    </row>
    <row r="119" spans="1:6" ht="62.25" customHeight="1" x14ac:dyDescent="0.25">
      <c r="A119" s="29" t="s">
        <v>3344</v>
      </c>
      <c r="B119" s="26" t="s">
        <v>3345</v>
      </c>
      <c r="C119" s="26"/>
      <c r="D119" s="26" t="s">
        <v>75</v>
      </c>
      <c r="E119" s="26" t="s">
        <v>3346</v>
      </c>
      <c r="F119" s="26" t="s">
        <v>145</v>
      </c>
    </row>
    <row r="120" spans="1:6" ht="62.25" customHeight="1" x14ac:dyDescent="0.25">
      <c r="A120" s="29" t="s">
        <v>3613</v>
      </c>
      <c r="B120" s="26"/>
      <c r="C120" s="26"/>
      <c r="D120" s="26" t="s">
        <v>3614</v>
      </c>
      <c r="E120" s="26" t="s">
        <v>3615</v>
      </c>
      <c r="F120" s="26" t="s">
        <v>145</v>
      </c>
    </row>
    <row r="121" spans="1:6" ht="39" customHeight="1" x14ac:dyDescent="0.25">
      <c r="A121" s="29" t="s">
        <v>3287</v>
      </c>
      <c r="B121" s="26" t="s">
        <v>3288</v>
      </c>
      <c r="C121" s="26"/>
      <c r="D121" s="26" t="s">
        <v>2670</v>
      </c>
      <c r="E121" s="26" t="s">
        <v>3289</v>
      </c>
      <c r="F121" s="26" t="s">
        <v>26</v>
      </c>
    </row>
    <row r="122" spans="1:6" ht="42.75" customHeight="1" x14ac:dyDescent="0.25">
      <c r="A122" s="29" t="s">
        <v>3246</v>
      </c>
      <c r="B122" s="26"/>
      <c r="C122" s="26"/>
      <c r="D122" s="26" t="s">
        <v>75</v>
      </c>
      <c r="E122" s="26" t="s">
        <v>3247</v>
      </c>
      <c r="F122" s="26" t="s">
        <v>57</v>
      </c>
    </row>
    <row r="123" spans="1:6" ht="46.5" customHeight="1" x14ac:dyDescent="0.25">
      <c r="A123" s="29" t="s">
        <v>3290</v>
      </c>
      <c r="B123" s="26"/>
      <c r="C123" s="26"/>
      <c r="D123" s="26" t="s">
        <v>3291</v>
      </c>
      <c r="E123" s="26" t="s">
        <v>3292</v>
      </c>
      <c r="F123" s="26" t="s">
        <v>13</v>
      </c>
    </row>
    <row r="124" spans="1:6" ht="44.25" customHeight="1" x14ac:dyDescent="0.25">
      <c r="A124" s="29" t="s">
        <v>3472</v>
      </c>
      <c r="B124" s="26"/>
      <c r="C124" s="26"/>
      <c r="D124" s="26" t="s">
        <v>3473</v>
      </c>
      <c r="E124" s="26" t="s">
        <v>3474</v>
      </c>
      <c r="F124" s="26" t="s">
        <v>13</v>
      </c>
    </row>
    <row r="125" spans="1:6" ht="42.75" customHeight="1" x14ac:dyDescent="0.25">
      <c r="A125" s="29" t="s">
        <v>3555</v>
      </c>
      <c r="B125" s="26"/>
      <c r="C125" s="26"/>
      <c r="D125" s="26" t="s">
        <v>3556</v>
      </c>
      <c r="E125" s="26" t="s">
        <v>4370</v>
      </c>
      <c r="F125" s="26" t="s">
        <v>74</v>
      </c>
    </row>
    <row r="126" spans="1:6" ht="42" customHeight="1" x14ac:dyDescent="0.25">
      <c r="A126" s="29" t="s">
        <v>3280</v>
      </c>
      <c r="B126" s="26"/>
      <c r="C126" s="26"/>
      <c r="D126" s="26" t="s">
        <v>3281</v>
      </c>
      <c r="E126" s="26" t="s">
        <v>3282</v>
      </c>
      <c r="F126" s="26" t="s">
        <v>145</v>
      </c>
    </row>
    <row r="127" spans="1:6" ht="42.75" customHeight="1" x14ac:dyDescent="0.25">
      <c r="A127" s="29" t="s">
        <v>3363</v>
      </c>
      <c r="B127" s="26"/>
      <c r="C127" s="26"/>
      <c r="D127" s="26" t="s">
        <v>3291</v>
      </c>
      <c r="E127" s="26" t="s">
        <v>3364</v>
      </c>
      <c r="F127" s="26" t="s">
        <v>26</v>
      </c>
    </row>
    <row r="128" spans="1:6" ht="47.25" customHeight="1" x14ac:dyDescent="0.25">
      <c r="A128" s="29" t="s">
        <v>3539</v>
      </c>
      <c r="B128" s="26"/>
      <c r="C128" s="26"/>
      <c r="D128" s="26" t="s">
        <v>2074</v>
      </c>
      <c r="E128" s="26" t="s">
        <v>3540</v>
      </c>
      <c r="F128" s="26" t="s">
        <v>46</v>
      </c>
    </row>
    <row r="129" spans="1:6" ht="47.25" customHeight="1" x14ac:dyDescent="0.25">
      <c r="A129" s="29" t="s">
        <v>3672</v>
      </c>
      <c r="B129" s="26"/>
      <c r="C129" s="26"/>
      <c r="D129" s="26" t="s">
        <v>3673</v>
      </c>
      <c r="E129" s="26" t="s">
        <v>3674</v>
      </c>
      <c r="F129" s="26" t="s">
        <v>26</v>
      </c>
    </row>
    <row r="130" spans="1:6" ht="39" customHeight="1" x14ac:dyDescent="0.25">
      <c r="A130" s="29" t="s">
        <v>3624</v>
      </c>
      <c r="B130" s="26"/>
      <c r="C130" s="26"/>
      <c r="D130" s="26" t="s">
        <v>3625</v>
      </c>
      <c r="E130" s="26" t="s">
        <v>3626</v>
      </c>
      <c r="F130" s="26" t="s">
        <v>145</v>
      </c>
    </row>
    <row r="131" spans="1:6" ht="47.25" customHeight="1" x14ac:dyDescent="0.25">
      <c r="A131" s="29" t="s">
        <v>3393</v>
      </c>
      <c r="B131" s="26"/>
      <c r="C131" s="26"/>
      <c r="D131" s="26" t="s">
        <v>3394</v>
      </c>
      <c r="E131" s="26" t="s">
        <v>3395</v>
      </c>
      <c r="F131" s="26" t="s">
        <v>3396</v>
      </c>
    </row>
    <row r="132" spans="1:6" ht="62.25" customHeight="1" x14ac:dyDescent="0.25">
      <c r="A132" s="29" t="s">
        <v>3567</v>
      </c>
      <c r="B132" s="26" t="s">
        <v>3568</v>
      </c>
      <c r="C132" s="26"/>
      <c r="D132" s="26" t="s">
        <v>3569</v>
      </c>
      <c r="E132" s="26" t="s">
        <v>3570</v>
      </c>
      <c r="F132" s="26" t="s">
        <v>145</v>
      </c>
    </row>
    <row r="133" spans="1:6" ht="62.25" customHeight="1" x14ac:dyDescent="0.25">
      <c r="A133" s="29" t="s">
        <v>3501</v>
      </c>
      <c r="B133" s="26" t="s">
        <v>3502</v>
      </c>
      <c r="C133" s="26"/>
      <c r="D133" s="26" t="s">
        <v>3503</v>
      </c>
      <c r="E133" s="26" t="s">
        <v>3504</v>
      </c>
      <c r="F133" s="26" t="s">
        <v>13</v>
      </c>
    </row>
    <row r="134" spans="1:6" ht="62.25" customHeight="1" x14ac:dyDescent="0.25">
      <c r="A134" s="29" t="s">
        <v>3322</v>
      </c>
      <c r="B134" s="26" t="s">
        <v>3323</v>
      </c>
      <c r="C134" s="26"/>
      <c r="D134" s="26" t="s">
        <v>2966</v>
      </c>
      <c r="E134" s="26" t="s">
        <v>3324</v>
      </c>
      <c r="F134" s="26" t="s">
        <v>145</v>
      </c>
    </row>
    <row r="135" spans="1:6" ht="62.25" customHeight="1" x14ac:dyDescent="0.25">
      <c r="A135" s="29" t="s">
        <v>3380</v>
      </c>
      <c r="B135" s="26" t="s">
        <v>3381</v>
      </c>
      <c r="C135" s="26"/>
      <c r="D135" s="26" t="s">
        <v>3257</v>
      </c>
      <c r="E135" s="26" t="s">
        <v>3382</v>
      </c>
      <c r="F135" s="26" t="s">
        <v>3383</v>
      </c>
    </row>
    <row r="136" spans="1:6" ht="62.25" customHeight="1" x14ac:dyDescent="0.25">
      <c r="A136" s="29" t="s">
        <v>3531</v>
      </c>
      <c r="B136" s="26" t="s">
        <v>3532</v>
      </c>
      <c r="C136" s="26"/>
      <c r="D136" s="26" t="s">
        <v>3529</v>
      </c>
      <c r="E136" s="26" t="s">
        <v>3533</v>
      </c>
      <c r="F136" s="26" t="s">
        <v>57</v>
      </c>
    </row>
    <row r="137" spans="1:6" ht="62.25" customHeight="1" x14ac:dyDescent="0.25">
      <c r="A137" s="29" t="s">
        <v>3688</v>
      </c>
      <c r="B137" s="26" t="s">
        <v>3689</v>
      </c>
      <c r="C137" s="26"/>
      <c r="D137" s="26" t="s">
        <v>3690</v>
      </c>
      <c r="E137" s="26" t="s">
        <v>3691</v>
      </c>
      <c r="F137" s="26" t="s">
        <v>74</v>
      </c>
    </row>
    <row r="138" spans="1:6" ht="62.25" customHeight="1" x14ac:dyDescent="0.25">
      <c r="A138" s="29" t="s">
        <v>3581</v>
      </c>
      <c r="B138" s="26" t="s">
        <v>3582</v>
      </c>
      <c r="C138" s="26"/>
      <c r="D138" s="26" t="s">
        <v>3583</v>
      </c>
      <c r="E138" s="26" t="s">
        <v>3584</v>
      </c>
      <c r="F138" s="26" t="s">
        <v>74</v>
      </c>
    </row>
    <row r="139" spans="1:6" ht="62.25" customHeight="1" x14ac:dyDescent="0.25">
      <c r="A139" s="29" t="s">
        <v>3604</v>
      </c>
      <c r="B139" s="26"/>
      <c r="C139" s="26"/>
      <c r="D139" s="26" t="s">
        <v>3605</v>
      </c>
      <c r="E139" s="26" t="s">
        <v>3606</v>
      </c>
      <c r="F139" s="26" t="s">
        <v>145</v>
      </c>
    </row>
    <row r="140" spans="1:6" ht="62.25" customHeight="1" x14ac:dyDescent="0.25">
      <c r="A140" s="29" t="s">
        <v>3482</v>
      </c>
      <c r="B140" s="26" t="s">
        <v>3483</v>
      </c>
      <c r="C140" s="26"/>
      <c r="D140" s="26" t="s">
        <v>3484</v>
      </c>
      <c r="E140" s="26" t="s">
        <v>3485</v>
      </c>
      <c r="F140" s="26" t="s">
        <v>13</v>
      </c>
    </row>
    <row r="141" spans="1:6" ht="62.25" customHeight="1" x14ac:dyDescent="0.25">
      <c r="A141" s="29" t="s">
        <v>3437</v>
      </c>
      <c r="B141" s="26" t="s">
        <v>3438</v>
      </c>
      <c r="C141" s="26"/>
      <c r="D141" s="26" t="s">
        <v>3439</v>
      </c>
      <c r="E141" s="26" t="s">
        <v>3440</v>
      </c>
      <c r="F141" s="26" t="s">
        <v>145</v>
      </c>
    </row>
    <row r="142" spans="1:6" ht="62.25" customHeight="1" x14ac:dyDescent="0.25">
      <c r="A142" s="29" t="s">
        <v>3313</v>
      </c>
      <c r="B142" s="26"/>
      <c r="C142" s="26"/>
      <c r="D142" s="26" t="s">
        <v>2933</v>
      </c>
      <c r="E142" s="26" t="s">
        <v>3314</v>
      </c>
      <c r="F142" s="26" t="s">
        <v>145</v>
      </c>
    </row>
    <row r="143" spans="1:6" ht="62.25" customHeight="1" x14ac:dyDescent="0.25">
      <c r="A143" s="29" t="s">
        <v>3320</v>
      </c>
      <c r="B143" s="26"/>
      <c r="C143" s="26"/>
      <c r="D143" s="26" t="s">
        <v>2670</v>
      </c>
      <c r="E143" s="26" t="s">
        <v>3321</v>
      </c>
      <c r="F143" s="26" t="s">
        <v>26</v>
      </c>
    </row>
    <row r="144" spans="1:6" ht="62.25" customHeight="1" x14ac:dyDescent="0.25">
      <c r="A144" s="29" t="s">
        <v>3305</v>
      </c>
      <c r="B144" s="26" t="s">
        <v>3306</v>
      </c>
      <c r="C144" s="26"/>
      <c r="D144" s="26" t="s">
        <v>3307</v>
      </c>
      <c r="E144" s="26" t="s">
        <v>3308</v>
      </c>
      <c r="F144" s="26" t="s">
        <v>145</v>
      </c>
    </row>
    <row r="145" spans="1:6" ht="62.25" customHeight="1" x14ac:dyDescent="0.25">
      <c r="A145" s="29" t="s">
        <v>3225</v>
      </c>
      <c r="B145" s="26" t="s">
        <v>3226</v>
      </c>
      <c r="C145" s="26"/>
      <c r="D145" s="26" t="s">
        <v>3227</v>
      </c>
      <c r="E145" s="26" t="s">
        <v>3228</v>
      </c>
      <c r="F145" s="26" t="s">
        <v>145</v>
      </c>
    </row>
    <row r="146" spans="1:6" ht="62.25" customHeight="1" x14ac:dyDescent="0.25">
      <c r="A146" s="29" t="s">
        <v>3451</v>
      </c>
      <c r="B146" s="26" t="s">
        <v>3452</v>
      </c>
      <c r="C146" s="26"/>
      <c r="D146" s="26" t="s">
        <v>3453</v>
      </c>
      <c r="E146" s="26" t="s">
        <v>3454</v>
      </c>
      <c r="F146" s="26" t="s">
        <v>145</v>
      </c>
    </row>
    <row r="147" spans="1:6" ht="62.25" customHeight="1" x14ac:dyDescent="0.25">
      <c r="A147" s="29" t="s">
        <v>3192</v>
      </c>
      <c r="B147" s="26"/>
      <c r="C147" s="26"/>
      <c r="D147" s="26" t="s">
        <v>3193</v>
      </c>
      <c r="E147" s="26" t="s">
        <v>3194</v>
      </c>
      <c r="F147" s="26" t="s">
        <v>145</v>
      </c>
    </row>
    <row r="148" spans="1:6" ht="62.25" customHeight="1" x14ac:dyDescent="0.25">
      <c r="A148" s="29" t="s">
        <v>3186</v>
      </c>
      <c r="B148" s="26"/>
      <c r="C148" s="26"/>
      <c r="D148" s="26" t="s">
        <v>2670</v>
      </c>
      <c r="E148" s="26" t="s">
        <v>3187</v>
      </c>
      <c r="F148" s="26" t="s">
        <v>145</v>
      </c>
    </row>
    <row r="149" spans="1:6" ht="62.25" customHeight="1" x14ac:dyDescent="0.25">
      <c r="A149" s="29" t="s">
        <v>3465</v>
      </c>
      <c r="B149" s="26"/>
      <c r="C149" s="26"/>
      <c r="D149" s="26" t="s">
        <v>3466</v>
      </c>
      <c r="E149" s="26" t="s">
        <v>3467</v>
      </c>
      <c r="F149" s="26" t="s">
        <v>145</v>
      </c>
    </row>
    <row r="150" spans="1:6" ht="62.25" customHeight="1" x14ac:dyDescent="0.25">
      <c r="A150" s="29" t="s">
        <v>3650</v>
      </c>
      <c r="B150" s="26" t="s">
        <v>3651</v>
      </c>
      <c r="C150" s="26"/>
      <c r="D150" s="26" t="s">
        <v>2816</v>
      </c>
      <c r="E150" s="26" t="s">
        <v>3652</v>
      </c>
      <c r="F150" s="26" t="s">
        <v>145</v>
      </c>
    </row>
    <row r="151" spans="1:6" ht="62.25" customHeight="1" x14ac:dyDescent="0.25">
      <c r="A151" s="29" t="s">
        <v>3497</v>
      </c>
      <c r="B151" s="26" t="s">
        <v>3498</v>
      </c>
      <c r="C151" s="26"/>
      <c r="D151" s="26" t="s">
        <v>3499</v>
      </c>
      <c r="E151" s="26" t="s">
        <v>3500</v>
      </c>
      <c r="F151" s="26" t="s">
        <v>13</v>
      </c>
    </row>
    <row r="152" spans="1:6" ht="62.25" customHeight="1" x14ac:dyDescent="0.25">
      <c r="A152" s="29" t="s">
        <v>3763</v>
      </c>
      <c r="B152" s="26" t="s">
        <v>3764</v>
      </c>
      <c r="C152" s="26" t="s">
        <v>3765</v>
      </c>
      <c r="D152" s="26" t="s">
        <v>1084</v>
      </c>
      <c r="E152" s="26" t="s">
        <v>3766</v>
      </c>
      <c r="F152" s="26" t="s">
        <v>13</v>
      </c>
    </row>
    <row r="153" spans="1:6" ht="62.25" customHeight="1" x14ac:dyDescent="0.25">
      <c r="A153" s="29" t="s">
        <v>3486</v>
      </c>
      <c r="B153" s="26"/>
      <c r="C153" s="26"/>
      <c r="D153" s="26" t="s">
        <v>3487</v>
      </c>
      <c r="E153" s="26" t="s">
        <v>3488</v>
      </c>
      <c r="F153" s="26" t="s">
        <v>46</v>
      </c>
    </row>
    <row r="154" spans="1:6" ht="62.25" customHeight="1" x14ac:dyDescent="0.25">
      <c r="A154" s="29" t="s">
        <v>3571</v>
      </c>
      <c r="B154" s="26" t="s">
        <v>3572</v>
      </c>
      <c r="C154" s="26"/>
      <c r="D154" s="26" t="s">
        <v>1558</v>
      </c>
      <c r="E154" s="26" t="s">
        <v>3573</v>
      </c>
      <c r="F154" s="26" t="s">
        <v>145</v>
      </c>
    </row>
    <row r="155" spans="1:6" ht="62.25" customHeight="1" x14ac:dyDescent="0.25">
      <c r="A155" s="29" t="s">
        <v>3183</v>
      </c>
      <c r="B155" s="26"/>
      <c r="C155" s="26"/>
      <c r="D155" s="26" t="s">
        <v>3184</v>
      </c>
      <c r="E155" s="26" t="s">
        <v>3185</v>
      </c>
      <c r="F155" s="26" t="s">
        <v>145</v>
      </c>
    </row>
    <row r="156" spans="1:6" ht="62.25" customHeight="1" x14ac:dyDescent="0.25">
      <c r="A156" s="29" t="s">
        <v>3204</v>
      </c>
      <c r="B156" s="26"/>
      <c r="C156" s="26"/>
      <c r="D156" s="26" t="s">
        <v>3205</v>
      </c>
      <c r="E156" s="26" t="s">
        <v>3206</v>
      </c>
      <c r="F156" s="26" t="s">
        <v>57</v>
      </c>
    </row>
    <row r="157" spans="1:6" ht="62.25" customHeight="1" x14ac:dyDescent="0.25">
      <c r="A157" s="29" t="s">
        <v>3574</v>
      </c>
      <c r="B157" s="26"/>
      <c r="C157" s="26"/>
      <c r="D157" s="26" t="s">
        <v>2205</v>
      </c>
      <c r="E157" s="26" t="s">
        <v>3575</v>
      </c>
      <c r="F157" s="26" t="s">
        <v>3576</v>
      </c>
    </row>
    <row r="158" spans="1:6" ht="62.25" customHeight="1" x14ac:dyDescent="0.25">
      <c r="A158" s="29" t="s">
        <v>3601</v>
      </c>
      <c r="B158" s="26"/>
      <c r="C158" s="26"/>
      <c r="D158" s="26" t="s">
        <v>3602</v>
      </c>
      <c r="E158" s="26" t="s">
        <v>3603</v>
      </c>
      <c r="F158" s="26" t="s">
        <v>13</v>
      </c>
    </row>
    <row r="159" spans="1:6" ht="62.25" customHeight="1" x14ac:dyDescent="0.25">
      <c r="A159" s="29" t="s">
        <v>3255</v>
      </c>
      <c r="B159" s="26" t="s">
        <v>3256</v>
      </c>
      <c r="C159" s="26"/>
      <c r="D159" s="26" t="s">
        <v>3257</v>
      </c>
      <c r="E159" s="26" t="s">
        <v>3258</v>
      </c>
      <c r="F159" s="26" t="s">
        <v>145</v>
      </c>
    </row>
    <row r="160" spans="1:6" ht="62.25" customHeight="1" x14ac:dyDescent="0.25">
      <c r="A160" s="29" t="s">
        <v>3221</v>
      </c>
      <c r="B160" s="26" t="s">
        <v>3222</v>
      </c>
      <c r="C160" s="26"/>
      <c r="D160" s="26" t="s">
        <v>3223</v>
      </c>
      <c r="E160" s="26" t="s">
        <v>3224</v>
      </c>
      <c r="F160" s="26" t="s">
        <v>145</v>
      </c>
    </row>
    <row r="161" spans="1:6" ht="62.25" customHeight="1" x14ac:dyDescent="0.25">
      <c r="A161" s="29" t="s">
        <v>3368</v>
      </c>
      <c r="B161" s="26"/>
      <c r="C161" s="26"/>
      <c r="D161" s="26" t="s">
        <v>3369</v>
      </c>
      <c r="E161" s="26" t="s">
        <v>3370</v>
      </c>
      <c r="F161" s="26" t="s">
        <v>966</v>
      </c>
    </row>
    <row r="162" spans="1:6" ht="62.25" customHeight="1" x14ac:dyDescent="0.25">
      <c r="A162" s="29" t="s">
        <v>3317</v>
      </c>
      <c r="B162" s="26"/>
      <c r="C162" s="26" t="s">
        <v>1871</v>
      </c>
      <c r="D162" s="26" t="s">
        <v>3318</v>
      </c>
      <c r="E162" s="26" t="s">
        <v>3319</v>
      </c>
      <c r="F162" s="26" t="s">
        <v>145</v>
      </c>
    </row>
    <row r="163" spans="1:6" ht="62.25" customHeight="1" x14ac:dyDescent="0.25">
      <c r="A163" s="29" t="s">
        <v>3188</v>
      </c>
      <c r="B163" s="26" t="s">
        <v>3189</v>
      </c>
      <c r="C163" s="26"/>
      <c r="D163" s="26" t="s">
        <v>3190</v>
      </c>
      <c r="E163" s="26" t="s">
        <v>3191</v>
      </c>
      <c r="F163" s="26" t="s">
        <v>145</v>
      </c>
    </row>
    <row r="164" spans="1:6" ht="62.25" customHeight="1" x14ac:dyDescent="0.25">
      <c r="A164" s="29" t="s">
        <v>3692</v>
      </c>
      <c r="B164" s="26"/>
      <c r="C164" s="26"/>
      <c r="D164" s="26" t="s">
        <v>3693</v>
      </c>
      <c r="E164" s="26" t="s">
        <v>3694</v>
      </c>
      <c r="F164" s="26" t="s">
        <v>3695</v>
      </c>
    </row>
    <row r="165" spans="1:6" ht="62.25" customHeight="1" x14ac:dyDescent="0.25">
      <c r="A165" s="29" t="s">
        <v>3521</v>
      </c>
      <c r="B165" s="26"/>
      <c r="C165" s="26"/>
      <c r="D165" s="26" t="s">
        <v>3470</v>
      </c>
      <c r="E165" s="26" t="s">
        <v>3522</v>
      </c>
      <c r="F165" s="26" t="s">
        <v>3523</v>
      </c>
    </row>
    <row r="166" spans="1:6" ht="62.25" customHeight="1" x14ac:dyDescent="0.25">
      <c r="A166" s="29" t="s">
        <v>3333</v>
      </c>
      <c r="B166" s="26" t="s">
        <v>3334</v>
      </c>
      <c r="C166" s="26" t="s">
        <v>3335</v>
      </c>
      <c r="D166" s="26" t="s">
        <v>3336</v>
      </c>
      <c r="E166" s="26" t="s">
        <v>3337</v>
      </c>
      <c r="F166" s="26" t="s">
        <v>74</v>
      </c>
    </row>
    <row r="167" spans="1:6" ht="62.25" customHeight="1" x14ac:dyDescent="0.25">
      <c r="A167" s="29" t="s">
        <v>3349</v>
      </c>
      <c r="B167" s="26" t="s">
        <v>3350</v>
      </c>
      <c r="C167" s="26" t="s">
        <v>2647</v>
      </c>
      <c r="D167" s="26" t="s">
        <v>3351</v>
      </c>
      <c r="E167" s="26" t="s">
        <v>3352</v>
      </c>
      <c r="F167" s="26" t="s">
        <v>74</v>
      </c>
    </row>
    <row r="168" spans="1:6" ht="62.25" customHeight="1" x14ac:dyDescent="0.25">
      <c r="A168" s="29" t="s">
        <v>3524</v>
      </c>
      <c r="B168" s="26" t="s">
        <v>3525</v>
      </c>
      <c r="C168" s="26"/>
      <c r="D168" s="26" t="s">
        <v>3526</v>
      </c>
      <c r="E168" s="26" t="s">
        <v>3527</v>
      </c>
      <c r="F168" s="26" t="s">
        <v>145</v>
      </c>
    </row>
    <row r="169" spans="1:6" ht="62.25" customHeight="1" x14ac:dyDescent="0.25">
      <c r="A169" s="29" t="s">
        <v>3629</v>
      </c>
      <c r="B169" s="26" t="s">
        <v>3630</v>
      </c>
      <c r="C169" s="26"/>
      <c r="D169" s="26" t="s">
        <v>3631</v>
      </c>
      <c r="E169" s="26" t="s">
        <v>3632</v>
      </c>
      <c r="F169" s="26" t="s">
        <v>145</v>
      </c>
    </row>
    <row r="170" spans="1:6" ht="62.25" customHeight="1" x14ac:dyDescent="0.25">
      <c r="A170" s="29" t="s">
        <v>3365</v>
      </c>
      <c r="B170" s="26"/>
      <c r="C170" s="26"/>
      <c r="D170" s="26" t="s">
        <v>3366</v>
      </c>
      <c r="E170" s="26" t="s">
        <v>3367</v>
      </c>
      <c r="F170" s="26" t="s">
        <v>145</v>
      </c>
    </row>
    <row r="171" spans="1:6" ht="62.25" customHeight="1" x14ac:dyDescent="0.25">
      <c r="A171" s="29" t="s">
        <v>3700</v>
      </c>
      <c r="B171" s="26" t="s">
        <v>3701</v>
      </c>
      <c r="C171" s="26"/>
      <c r="D171" s="26" t="s">
        <v>3702</v>
      </c>
      <c r="E171" s="26" t="s">
        <v>3703</v>
      </c>
      <c r="F171" s="26" t="s">
        <v>13</v>
      </c>
    </row>
    <row r="172" spans="1:6" ht="62.25" customHeight="1" x14ac:dyDescent="0.25">
      <c r="A172" s="29" t="s">
        <v>3641</v>
      </c>
      <c r="B172" s="26" t="s">
        <v>3642</v>
      </c>
      <c r="C172" s="26"/>
      <c r="D172" s="26" t="s">
        <v>581</v>
      </c>
      <c r="E172" s="26" t="s">
        <v>3643</v>
      </c>
      <c r="F172" s="26" t="s">
        <v>145</v>
      </c>
    </row>
    <row r="173" spans="1:6" ht="62.25" customHeight="1" x14ac:dyDescent="0.25">
      <c r="A173" s="29" t="s">
        <v>3534</v>
      </c>
      <c r="B173" s="26"/>
      <c r="C173" s="26"/>
      <c r="D173" s="26" t="s">
        <v>3535</v>
      </c>
      <c r="E173" s="26" t="s">
        <v>3536</v>
      </c>
      <c r="F173" s="26" t="s">
        <v>145</v>
      </c>
    </row>
    <row r="174" spans="1:6" ht="62.25" customHeight="1" x14ac:dyDescent="0.25">
      <c r="A174" s="29" t="s">
        <v>3210</v>
      </c>
      <c r="B174" s="26"/>
      <c r="C174" s="26"/>
      <c r="D174" s="26" t="s">
        <v>3211</v>
      </c>
      <c r="E174" s="26" t="s">
        <v>4371</v>
      </c>
      <c r="F174" s="26" t="s">
        <v>145</v>
      </c>
    </row>
    <row r="175" spans="1:6" ht="62.25" customHeight="1" x14ac:dyDescent="0.25">
      <c r="A175" s="29" t="s">
        <v>3214</v>
      </c>
      <c r="B175" s="26"/>
      <c r="C175" s="26"/>
      <c r="D175" s="26" t="s">
        <v>3215</v>
      </c>
      <c r="E175" s="26" t="s">
        <v>3216</v>
      </c>
      <c r="F175" s="26" t="s">
        <v>145</v>
      </c>
    </row>
    <row r="176" spans="1:6" ht="62.25" customHeight="1" x14ac:dyDescent="0.25">
      <c r="A176" s="29" t="s">
        <v>3212</v>
      </c>
      <c r="B176" s="26"/>
      <c r="C176" s="26"/>
      <c r="D176" s="26" t="s">
        <v>3211</v>
      </c>
      <c r="E176" s="26" t="s">
        <v>3213</v>
      </c>
      <c r="F176" s="26" t="s">
        <v>145</v>
      </c>
    </row>
    <row r="177" spans="1:6" ht="62.25" customHeight="1" x14ac:dyDescent="0.25">
      <c r="A177" s="29" t="s">
        <v>3236</v>
      </c>
      <c r="B177" s="26" t="s">
        <v>3237</v>
      </c>
      <c r="C177" s="26"/>
      <c r="D177" s="26" t="s">
        <v>581</v>
      </c>
      <c r="E177" s="26" t="s">
        <v>3238</v>
      </c>
      <c r="F177" s="26" t="s">
        <v>74</v>
      </c>
    </row>
    <row r="178" spans="1:6" ht="45.75" customHeight="1" x14ac:dyDescent="0.25">
      <c r="A178" s="29" t="s">
        <v>3707</v>
      </c>
      <c r="B178" s="26" t="s">
        <v>3708</v>
      </c>
      <c r="C178" s="26" t="s">
        <v>3709</v>
      </c>
      <c r="D178" s="26" t="s">
        <v>2441</v>
      </c>
      <c r="E178" s="26" t="s">
        <v>3710</v>
      </c>
      <c r="F178" s="26" t="s">
        <v>26</v>
      </c>
    </row>
    <row r="179" spans="1:6" ht="45" customHeight="1" x14ac:dyDescent="0.25">
      <c r="A179" s="29" t="s">
        <v>3607</v>
      </c>
      <c r="B179" s="26"/>
      <c r="C179" s="26"/>
      <c r="D179" s="26" t="s">
        <v>3608</v>
      </c>
      <c r="E179" s="26" t="s">
        <v>3609</v>
      </c>
      <c r="F179" s="26" t="s">
        <v>13</v>
      </c>
    </row>
    <row r="180" spans="1:6" ht="39" customHeight="1" x14ac:dyDescent="0.25">
      <c r="A180" s="29" t="s">
        <v>3441</v>
      </c>
      <c r="B180" s="26"/>
      <c r="C180" s="26"/>
      <c r="D180" s="26" t="s">
        <v>137</v>
      </c>
      <c r="E180" s="26" t="s">
        <v>3442</v>
      </c>
      <c r="F180" s="26" t="s">
        <v>13</v>
      </c>
    </row>
    <row r="181" spans="1:6" ht="39.75" customHeight="1" x14ac:dyDescent="0.25">
      <c r="A181" s="29" t="s">
        <v>3704</v>
      </c>
      <c r="B181" s="26" t="s">
        <v>3705</v>
      </c>
      <c r="C181" s="26"/>
      <c r="D181" s="26" t="s">
        <v>3702</v>
      </c>
      <c r="E181" s="26" t="s">
        <v>3706</v>
      </c>
      <c r="F181" s="26" t="s">
        <v>13</v>
      </c>
    </row>
    <row r="182" spans="1:6" ht="42.75" customHeight="1" x14ac:dyDescent="0.25">
      <c r="A182" s="29" t="s">
        <v>3443</v>
      </c>
      <c r="B182" s="26" t="s">
        <v>3444</v>
      </c>
      <c r="C182" s="26"/>
      <c r="D182" s="26" t="s">
        <v>3445</v>
      </c>
      <c r="E182" s="26" t="s">
        <v>3446</v>
      </c>
      <c r="F182" s="26" t="s">
        <v>13</v>
      </c>
    </row>
  </sheetData>
  <sortState ref="A2:F188">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C771-1215-49EE-A71C-78A9F5291F1A}">
  <dimension ref="A1:F167"/>
  <sheetViews>
    <sheetView workbookViewId="0">
      <selection sqref="A1:F1"/>
    </sheetView>
  </sheetViews>
  <sheetFormatPr defaultRowHeight="31.5" customHeight="1" x14ac:dyDescent="0.25"/>
  <cols>
    <col min="1" max="1" width="84.7109375" customWidth="1"/>
    <col min="2" max="2" width="40.5703125" customWidth="1"/>
    <col min="3" max="3" width="21.85546875" customWidth="1"/>
    <col min="4" max="4" width="20.140625" customWidth="1"/>
    <col min="5" max="5" width="27.85546875" customWidth="1"/>
    <col min="6" max="6" width="31.85546875" customWidth="1"/>
  </cols>
  <sheetData>
    <row r="1" spans="1:6" ht="31.5" customHeight="1" x14ac:dyDescent="0.25">
      <c r="A1" s="12" t="s">
        <v>4</v>
      </c>
      <c r="B1" s="13" t="s">
        <v>5</v>
      </c>
      <c r="C1" s="14" t="s">
        <v>2</v>
      </c>
      <c r="D1" s="15" t="s">
        <v>3</v>
      </c>
      <c r="E1" s="16" t="s">
        <v>0</v>
      </c>
      <c r="F1" s="14" t="s">
        <v>1</v>
      </c>
    </row>
    <row r="2" spans="1:6" ht="31.5" customHeight="1" x14ac:dyDescent="0.25">
      <c r="A2" s="32" t="s">
        <v>4197</v>
      </c>
      <c r="B2" s="33" t="s">
        <v>4195</v>
      </c>
      <c r="C2" s="33"/>
      <c r="D2" s="33" t="s">
        <v>3511</v>
      </c>
      <c r="E2" s="33" t="s">
        <v>4198</v>
      </c>
      <c r="F2" s="33" t="s">
        <v>145</v>
      </c>
    </row>
    <row r="3" spans="1:6" ht="96.75" customHeight="1" x14ac:dyDescent="0.25">
      <c r="A3" s="32" t="s">
        <v>4286</v>
      </c>
      <c r="B3" s="33"/>
      <c r="C3" s="33"/>
      <c r="D3" s="33" t="s">
        <v>4378</v>
      </c>
      <c r="E3" s="33" t="s">
        <v>4287</v>
      </c>
      <c r="F3" s="33" t="s">
        <v>1789</v>
      </c>
    </row>
    <row r="4" spans="1:6" ht="51" customHeight="1" x14ac:dyDescent="0.25">
      <c r="A4" s="32" t="s">
        <v>4291</v>
      </c>
      <c r="B4" s="33"/>
      <c r="C4" s="33"/>
      <c r="D4" s="33" t="s">
        <v>4292</v>
      </c>
      <c r="E4" s="33" t="s">
        <v>4293</v>
      </c>
      <c r="F4" s="33" t="s">
        <v>1789</v>
      </c>
    </row>
    <row r="5" spans="1:6" ht="88.5" customHeight="1" x14ac:dyDescent="0.25">
      <c r="A5" s="32" t="s">
        <v>4273</v>
      </c>
      <c r="B5" s="33"/>
      <c r="C5" s="33"/>
      <c r="D5" s="33" t="s">
        <v>4274</v>
      </c>
      <c r="E5" s="33" t="s">
        <v>4275</v>
      </c>
      <c r="F5" s="33" t="s">
        <v>26</v>
      </c>
    </row>
    <row r="6" spans="1:6" ht="50.25" customHeight="1" x14ac:dyDescent="0.25">
      <c r="A6" s="32" t="s">
        <v>4297</v>
      </c>
      <c r="B6" s="33"/>
      <c r="C6" s="33"/>
      <c r="D6" s="33" t="s">
        <v>4298</v>
      </c>
      <c r="E6" s="33" t="s">
        <v>4299</v>
      </c>
      <c r="F6" s="33" t="s">
        <v>26</v>
      </c>
    </row>
    <row r="7" spans="1:6" ht="48" customHeight="1" x14ac:dyDescent="0.25">
      <c r="A7" s="32" t="s">
        <v>3958</v>
      </c>
      <c r="B7" s="33" t="s">
        <v>3959</v>
      </c>
      <c r="C7" s="33"/>
      <c r="D7" s="33" t="s">
        <v>3960</v>
      </c>
      <c r="E7" s="33" t="s">
        <v>3961</v>
      </c>
      <c r="F7" s="33" t="s">
        <v>13</v>
      </c>
    </row>
    <row r="8" spans="1:6" ht="42.75" customHeight="1" x14ac:dyDescent="0.25">
      <c r="A8" s="32" t="s">
        <v>3994</v>
      </c>
      <c r="B8" s="33" t="s">
        <v>3995</v>
      </c>
      <c r="C8" s="33" t="s">
        <v>3996</v>
      </c>
      <c r="D8" s="33" t="s">
        <v>3997</v>
      </c>
      <c r="E8" s="33" t="s">
        <v>3998</v>
      </c>
      <c r="F8" s="33" t="s">
        <v>57</v>
      </c>
    </row>
    <row r="9" spans="1:6" ht="31.5" customHeight="1" x14ac:dyDescent="0.25">
      <c r="A9" s="32" t="s">
        <v>4027</v>
      </c>
      <c r="B9" s="33" t="s">
        <v>4028</v>
      </c>
      <c r="C9" s="33"/>
      <c r="D9" s="33" t="s">
        <v>1878</v>
      </c>
      <c r="E9" s="33" t="s">
        <v>4029</v>
      </c>
      <c r="F9" s="33" t="s">
        <v>74</v>
      </c>
    </row>
    <row r="10" spans="1:6" ht="42" customHeight="1" x14ac:dyDescent="0.25">
      <c r="A10" s="32" t="s">
        <v>4051</v>
      </c>
      <c r="B10" s="33" t="s">
        <v>4052</v>
      </c>
      <c r="C10" s="33"/>
      <c r="D10" s="33" t="s">
        <v>4053</v>
      </c>
      <c r="E10" s="33" t="s">
        <v>4054</v>
      </c>
      <c r="F10" s="33" t="s">
        <v>26</v>
      </c>
    </row>
    <row r="11" spans="1:6" ht="31.5" customHeight="1" x14ac:dyDescent="0.25">
      <c r="A11" s="32" t="s">
        <v>3771</v>
      </c>
      <c r="B11" s="33" t="s">
        <v>3772</v>
      </c>
      <c r="C11" s="33"/>
      <c r="D11" s="33" t="s">
        <v>3773</v>
      </c>
      <c r="E11" s="33" t="s">
        <v>3774</v>
      </c>
      <c r="F11" s="33" t="s">
        <v>26</v>
      </c>
    </row>
    <row r="12" spans="1:6" ht="31.5" customHeight="1" x14ac:dyDescent="0.25">
      <c r="A12" s="32" t="s">
        <v>3918</v>
      </c>
      <c r="B12" s="33" t="s">
        <v>3919</v>
      </c>
      <c r="C12" s="33" t="s">
        <v>3920</v>
      </c>
      <c r="D12" s="33" t="s">
        <v>3921</v>
      </c>
      <c r="E12" s="33" t="s">
        <v>3922</v>
      </c>
      <c r="F12" s="33" t="s">
        <v>26</v>
      </c>
    </row>
    <row r="13" spans="1:6" ht="48" customHeight="1" x14ac:dyDescent="0.25">
      <c r="A13" s="32" t="s">
        <v>4344</v>
      </c>
      <c r="B13" s="33"/>
      <c r="C13" s="33" t="s">
        <v>4345</v>
      </c>
      <c r="D13" s="33" t="s">
        <v>4346</v>
      </c>
      <c r="E13" s="33" t="s">
        <v>4347</v>
      </c>
      <c r="F13" s="33" t="s">
        <v>57</v>
      </c>
    </row>
    <row r="14" spans="1:6" ht="55.5" customHeight="1" x14ac:dyDescent="0.25">
      <c r="A14" s="32" t="s">
        <v>3962</v>
      </c>
      <c r="B14" s="33" t="s">
        <v>3963</v>
      </c>
      <c r="C14" s="33"/>
      <c r="D14" s="33" t="s">
        <v>3964</v>
      </c>
      <c r="E14" s="33" t="s">
        <v>3965</v>
      </c>
      <c r="F14" s="33" t="s">
        <v>145</v>
      </c>
    </row>
    <row r="15" spans="1:6" ht="69" customHeight="1" x14ac:dyDescent="0.25">
      <c r="A15" s="32" t="s">
        <v>4279</v>
      </c>
      <c r="B15" s="33"/>
      <c r="C15" s="33"/>
      <c r="D15" s="33" t="s">
        <v>4280</v>
      </c>
      <c r="E15" s="33" t="s">
        <v>4281</v>
      </c>
      <c r="F15" s="33" t="s">
        <v>26</v>
      </c>
    </row>
    <row r="16" spans="1:6" ht="105.75" customHeight="1" x14ac:dyDescent="0.25">
      <c r="A16" s="32" t="s">
        <v>4282</v>
      </c>
      <c r="B16" s="33"/>
      <c r="C16" s="33"/>
      <c r="D16" s="33" t="s">
        <v>4283</v>
      </c>
      <c r="E16" s="33" t="s">
        <v>4284</v>
      </c>
      <c r="F16" s="33" t="s">
        <v>4285</v>
      </c>
    </row>
    <row r="17" spans="1:6" ht="31.5" customHeight="1" x14ac:dyDescent="0.25">
      <c r="A17" s="32" t="s">
        <v>3999</v>
      </c>
      <c r="B17" s="33" t="s">
        <v>4000</v>
      </c>
      <c r="C17" s="33" t="s">
        <v>4001</v>
      </c>
      <c r="D17" s="33" t="s">
        <v>4002</v>
      </c>
      <c r="E17" s="33" t="s">
        <v>4003</v>
      </c>
      <c r="F17" s="33" t="s">
        <v>26</v>
      </c>
    </row>
    <row r="18" spans="1:6" ht="43.5" customHeight="1" x14ac:dyDescent="0.25">
      <c r="A18" s="32" t="s">
        <v>4125</v>
      </c>
      <c r="B18" s="33" t="s">
        <v>4126</v>
      </c>
      <c r="C18" s="33"/>
      <c r="D18" s="33" t="s">
        <v>4127</v>
      </c>
      <c r="E18" s="33" t="s">
        <v>4128</v>
      </c>
      <c r="F18" s="33" t="s">
        <v>1789</v>
      </c>
    </row>
    <row r="19" spans="1:6" ht="50.25" customHeight="1" x14ac:dyDescent="0.25">
      <c r="A19" s="32" t="s">
        <v>4264</v>
      </c>
      <c r="B19" s="33"/>
      <c r="C19" s="33"/>
      <c r="D19" s="33" t="s">
        <v>4265</v>
      </c>
      <c r="E19" s="33" t="s">
        <v>4266</v>
      </c>
      <c r="F19" s="33" t="s">
        <v>26</v>
      </c>
    </row>
    <row r="20" spans="1:6" ht="48.75" customHeight="1" x14ac:dyDescent="0.25">
      <c r="A20" s="32" t="s">
        <v>4156</v>
      </c>
      <c r="B20" s="33" t="s">
        <v>4157</v>
      </c>
      <c r="C20" s="33"/>
      <c r="D20" s="33" t="s">
        <v>4158</v>
      </c>
      <c r="E20" s="33" t="s">
        <v>4159</v>
      </c>
      <c r="F20" s="33" t="s">
        <v>26</v>
      </c>
    </row>
    <row r="21" spans="1:6" ht="60" customHeight="1" x14ac:dyDescent="0.25">
      <c r="A21" s="32" t="s">
        <v>4270</v>
      </c>
      <c r="B21" s="33"/>
      <c r="C21" s="33"/>
      <c r="D21" s="33" t="s">
        <v>4271</v>
      </c>
      <c r="E21" s="33" t="s">
        <v>4272</v>
      </c>
      <c r="F21" s="33" t="s">
        <v>26</v>
      </c>
    </row>
    <row r="22" spans="1:6" ht="49.5" customHeight="1" x14ac:dyDescent="0.25">
      <c r="A22" s="32" t="s">
        <v>3905</v>
      </c>
      <c r="B22" s="33" t="s">
        <v>3906</v>
      </c>
      <c r="C22" s="33"/>
      <c r="D22" s="33" t="s">
        <v>3907</v>
      </c>
      <c r="E22" s="33" t="s">
        <v>3908</v>
      </c>
      <c r="F22" s="33" t="s">
        <v>57</v>
      </c>
    </row>
    <row r="23" spans="1:6" ht="75" customHeight="1" x14ac:dyDescent="0.25">
      <c r="A23" s="32" t="s">
        <v>3950</v>
      </c>
      <c r="B23" s="33" t="s">
        <v>3951</v>
      </c>
      <c r="C23" s="33"/>
      <c r="D23" s="33" t="s">
        <v>3952</v>
      </c>
      <c r="E23" s="33" t="s">
        <v>4374</v>
      </c>
      <c r="F23" s="33" t="s">
        <v>26</v>
      </c>
    </row>
    <row r="24" spans="1:6" ht="31.5" customHeight="1" x14ac:dyDescent="0.25">
      <c r="A24" s="32" t="s">
        <v>3975</v>
      </c>
      <c r="B24" s="33" t="s">
        <v>3976</v>
      </c>
      <c r="C24" s="33"/>
      <c r="D24" s="33" t="s">
        <v>3977</v>
      </c>
      <c r="E24" s="33" t="s">
        <v>3978</v>
      </c>
      <c r="F24" s="33" t="s">
        <v>57</v>
      </c>
    </row>
    <row r="25" spans="1:6" ht="58.5" customHeight="1" x14ac:dyDescent="0.25">
      <c r="A25" s="32" t="s">
        <v>3854</v>
      </c>
      <c r="B25" s="33" t="s">
        <v>3855</v>
      </c>
      <c r="C25" s="33"/>
      <c r="D25" s="33" t="s">
        <v>3856</v>
      </c>
      <c r="E25" s="33" t="s">
        <v>4372</v>
      </c>
      <c r="F25" s="33" t="s">
        <v>26</v>
      </c>
    </row>
    <row r="26" spans="1:6" ht="31.5" customHeight="1" x14ac:dyDescent="0.25">
      <c r="A26" s="32" t="s">
        <v>3767</v>
      </c>
      <c r="B26" s="33" t="s">
        <v>3768</v>
      </c>
      <c r="C26" s="33"/>
      <c r="D26" s="33" t="s">
        <v>3769</v>
      </c>
      <c r="E26" s="33" t="s">
        <v>3770</v>
      </c>
      <c r="F26" s="33" t="s">
        <v>26</v>
      </c>
    </row>
    <row r="27" spans="1:6" ht="42.75" customHeight="1" x14ac:dyDescent="0.25">
      <c r="A27" s="32" t="s">
        <v>4004</v>
      </c>
      <c r="B27" s="33" t="s">
        <v>4005</v>
      </c>
      <c r="C27" s="33"/>
      <c r="D27" s="33" t="s">
        <v>4006</v>
      </c>
      <c r="E27" s="33" t="s">
        <v>4007</v>
      </c>
      <c r="F27" s="33" t="s">
        <v>26</v>
      </c>
    </row>
    <row r="28" spans="1:6" ht="31.5" customHeight="1" x14ac:dyDescent="0.25">
      <c r="A28" s="32" t="s">
        <v>4047</v>
      </c>
      <c r="B28" s="33" t="s">
        <v>4048</v>
      </c>
      <c r="C28" s="33"/>
      <c r="D28" s="33" t="s">
        <v>4049</v>
      </c>
      <c r="E28" s="33" t="s">
        <v>4050</v>
      </c>
      <c r="F28" s="33" t="s">
        <v>26</v>
      </c>
    </row>
    <row r="29" spans="1:6" ht="31.5" customHeight="1" x14ac:dyDescent="0.25">
      <c r="A29" s="32" t="s">
        <v>4021</v>
      </c>
      <c r="B29" s="33" t="s">
        <v>4022</v>
      </c>
      <c r="C29" s="33"/>
      <c r="D29" s="33" t="s">
        <v>4377</v>
      </c>
      <c r="E29" s="33" t="s">
        <v>4376</v>
      </c>
      <c r="F29" s="33" t="s">
        <v>26</v>
      </c>
    </row>
    <row r="30" spans="1:6" ht="31.5" customHeight="1" x14ac:dyDescent="0.25">
      <c r="A30" s="32" t="s">
        <v>4023</v>
      </c>
      <c r="B30" s="33" t="s">
        <v>4024</v>
      </c>
      <c r="C30" s="34"/>
      <c r="D30" s="33" t="s">
        <v>4025</v>
      </c>
      <c r="E30" s="33" t="s">
        <v>4026</v>
      </c>
      <c r="F30" s="33" t="s">
        <v>26</v>
      </c>
    </row>
    <row r="31" spans="1:6" ht="55.5" customHeight="1" x14ac:dyDescent="0.25">
      <c r="A31" s="32" t="s">
        <v>3784</v>
      </c>
      <c r="B31" s="33" t="s">
        <v>3785</v>
      </c>
      <c r="C31" s="33"/>
      <c r="D31" s="33" t="s">
        <v>3786</v>
      </c>
      <c r="E31" s="33" t="s">
        <v>3787</v>
      </c>
      <c r="F31" s="33" t="s">
        <v>1789</v>
      </c>
    </row>
    <row r="32" spans="1:6" ht="45" customHeight="1" x14ac:dyDescent="0.25">
      <c r="A32" s="32" t="s">
        <v>4303</v>
      </c>
      <c r="B32" s="33"/>
      <c r="C32" s="33"/>
      <c r="D32" s="33" t="s">
        <v>4304</v>
      </c>
      <c r="E32" s="33" t="s">
        <v>4379</v>
      </c>
      <c r="F32" s="33" t="s">
        <v>57</v>
      </c>
    </row>
    <row r="33" spans="1:6" ht="54" customHeight="1" x14ac:dyDescent="0.25">
      <c r="A33" s="32" t="s">
        <v>3820</v>
      </c>
      <c r="B33" s="33" t="s">
        <v>3821</v>
      </c>
      <c r="C33" s="33" t="s">
        <v>3822</v>
      </c>
      <c r="D33" s="33" t="s">
        <v>461</v>
      </c>
      <c r="E33" s="33" t="s">
        <v>3823</v>
      </c>
      <c r="F33" s="33" t="s">
        <v>57</v>
      </c>
    </row>
    <row r="34" spans="1:6" ht="31.5" customHeight="1" x14ac:dyDescent="0.25">
      <c r="A34" s="32" t="s">
        <v>3849</v>
      </c>
      <c r="B34" s="33" t="s">
        <v>3850</v>
      </c>
      <c r="C34" s="33" t="s">
        <v>3851</v>
      </c>
      <c r="D34" s="33" t="s">
        <v>3852</v>
      </c>
      <c r="E34" s="33" t="s">
        <v>3853</v>
      </c>
      <c r="F34" s="33" t="s">
        <v>26</v>
      </c>
    </row>
    <row r="35" spans="1:6" ht="31.5" customHeight="1" x14ac:dyDescent="0.25">
      <c r="A35" s="32" t="s">
        <v>3799</v>
      </c>
      <c r="B35" s="33" t="s">
        <v>3800</v>
      </c>
      <c r="C35" s="33"/>
      <c r="D35" s="33" t="s">
        <v>3801</v>
      </c>
      <c r="E35" s="33" t="s">
        <v>3802</v>
      </c>
      <c r="F35" s="33" t="s">
        <v>26</v>
      </c>
    </row>
    <row r="36" spans="1:6" ht="31.5" customHeight="1" x14ac:dyDescent="0.25">
      <c r="A36" s="32" t="s">
        <v>4375</v>
      </c>
      <c r="B36" s="33" t="s">
        <v>3953</v>
      </c>
      <c r="C36" s="33"/>
      <c r="D36" s="33" t="s">
        <v>3954</v>
      </c>
      <c r="E36" s="33" t="s">
        <v>3955</v>
      </c>
      <c r="F36" s="33" t="s">
        <v>13</v>
      </c>
    </row>
    <row r="37" spans="1:6" ht="31.5" customHeight="1" x14ac:dyDescent="0.25">
      <c r="A37" s="32" t="s">
        <v>3946</v>
      </c>
      <c r="B37" s="33" t="s">
        <v>3947</v>
      </c>
      <c r="C37" s="33"/>
      <c r="D37" s="33" t="s">
        <v>3948</v>
      </c>
      <c r="E37" s="33" t="s">
        <v>3949</v>
      </c>
      <c r="F37" s="33" t="s">
        <v>74</v>
      </c>
    </row>
    <row r="38" spans="1:6" ht="45" customHeight="1" x14ac:dyDescent="0.25">
      <c r="A38" s="32" t="s">
        <v>3991</v>
      </c>
      <c r="B38" s="33" t="s">
        <v>3992</v>
      </c>
      <c r="C38" s="33"/>
      <c r="D38" s="33" t="s">
        <v>1680</v>
      </c>
      <c r="E38" s="33" t="s">
        <v>3993</v>
      </c>
      <c r="F38" s="33" t="s">
        <v>74</v>
      </c>
    </row>
    <row r="39" spans="1:6" ht="31.5" customHeight="1" x14ac:dyDescent="0.25">
      <c r="A39" s="32" t="s">
        <v>3970</v>
      </c>
      <c r="B39" s="33" t="s">
        <v>3971</v>
      </c>
      <c r="C39" s="33" t="s">
        <v>3972</v>
      </c>
      <c r="D39" s="33" t="s">
        <v>3973</v>
      </c>
      <c r="E39" s="33" t="s">
        <v>3974</v>
      </c>
      <c r="F39" s="33" t="s">
        <v>145</v>
      </c>
    </row>
    <row r="40" spans="1:6" ht="31.5" customHeight="1" x14ac:dyDescent="0.25">
      <c r="A40" s="32" t="s">
        <v>4348</v>
      </c>
      <c r="B40" s="33"/>
      <c r="C40" s="33"/>
      <c r="D40" s="33" t="s">
        <v>4349</v>
      </c>
      <c r="E40" s="33" t="s">
        <v>4350</v>
      </c>
      <c r="F40" s="33" t="s">
        <v>74</v>
      </c>
    </row>
    <row r="41" spans="1:6" ht="31.5" customHeight="1" x14ac:dyDescent="0.25">
      <c r="A41" s="32" t="s">
        <v>3863</v>
      </c>
      <c r="B41" s="33" t="s">
        <v>3864</v>
      </c>
      <c r="C41" s="33"/>
      <c r="D41" s="33" t="s">
        <v>1562</v>
      </c>
      <c r="E41" s="33" t="s">
        <v>3865</v>
      </c>
      <c r="F41" s="33" t="s">
        <v>74</v>
      </c>
    </row>
    <row r="42" spans="1:6" ht="31.5" customHeight="1" x14ac:dyDescent="0.25">
      <c r="A42" s="32" t="s">
        <v>4235</v>
      </c>
      <c r="B42" s="33"/>
      <c r="C42" s="33"/>
      <c r="D42" s="33" t="s">
        <v>4236</v>
      </c>
      <c r="E42" s="33" t="s">
        <v>4237</v>
      </c>
      <c r="F42" s="33" t="s">
        <v>46</v>
      </c>
    </row>
    <row r="43" spans="1:6" ht="31.5" customHeight="1" x14ac:dyDescent="0.25">
      <c r="A43" s="32" t="s">
        <v>4186</v>
      </c>
      <c r="B43" s="33" t="s">
        <v>4187</v>
      </c>
      <c r="C43" s="33"/>
      <c r="D43" s="33" t="s">
        <v>4188</v>
      </c>
      <c r="E43" s="33" t="s">
        <v>4189</v>
      </c>
      <c r="F43" s="33" t="s">
        <v>46</v>
      </c>
    </row>
    <row r="44" spans="1:6" ht="44.25" customHeight="1" x14ac:dyDescent="0.25">
      <c r="A44" s="32" t="s">
        <v>3803</v>
      </c>
      <c r="B44" s="33" t="s">
        <v>3800</v>
      </c>
      <c r="C44" s="33" t="s">
        <v>3804</v>
      </c>
      <c r="D44" s="33" t="s">
        <v>3805</v>
      </c>
      <c r="E44" s="33" t="s">
        <v>3806</v>
      </c>
      <c r="F44" s="33" t="s">
        <v>1789</v>
      </c>
    </row>
    <row r="45" spans="1:6" ht="40.5" customHeight="1" x14ac:dyDescent="0.25">
      <c r="A45" s="32" t="s">
        <v>4017</v>
      </c>
      <c r="B45" s="33" t="s">
        <v>4018</v>
      </c>
      <c r="C45" s="33"/>
      <c r="D45" s="33" t="s">
        <v>4019</v>
      </c>
      <c r="E45" s="33" t="s">
        <v>4020</v>
      </c>
      <c r="F45" s="33" t="s">
        <v>26</v>
      </c>
    </row>
    <row r="46" spans="1:6" ht="60.75" customHeight="1" x14ac:dyDescent="0.25">
      <c r="A46" s="32" t="s">
        <v>3836</v>
      </c>
      <c r="B46" s="33" t="s">
        <v>3837</v>
      </c>
      <c r="C46" s="33"/>
      <c r="D46" s="33" t="s">
        <v>3838</v>
      </c>
      <c r="E46" s="33" t="s">
        <v>3839</v>
      </c>
      <c r="F46" s="33" t="s">
        <v>74</v>
      </c>
    </row>
    <row r="47" spans="1:6" ht="31.5" customHeight="1" x14ac:dyDescent="0.25">
      <c r="A47" s="32" t="s">
        <v>3942</v>
      </c>
      <c r="B47" s="33" t="s">
        <v>3943</v>
      </c>
      <c r="C47" s="33"/>
      <c r="D47" s="33" t="s">
        <v>3944</v>
      </c>
      <c r="E47" s="33" t="s">
        <v>3945</v>
      </c>
      <c r="F47" s="33" t="s">
        <v>74</v>
      </c>
    </row>
    <row r="48" spans="1:6" ht="31.5" customHeight="1" x14ac:dyDescent="0.25">
      <c r="A48" s="32" t="s">
        <v>3909</v>
      </c>
      <c r="B48" s="33" t="s">
        <v>3910</v>
      </c>
      <c r="C48" s="33" t="s">
        <v>3911</v>
      </c>
      <c r="D48" s="33" t="s">
        <v>1030</v>
      </c>
      <c r="E48" s="33" t="s">
        <v>3912</v>
      </c>
      <c r="F48" s="33" t="s">
        <v>26</v>
      </c>
    </row>
    <row r="49" spans="1:6" ht="31.5" customHeight="1" x14ac:dyDescent="0.25">
      <c r="A49" s="32" t="s">
        <v>3811</v>
      </c>
      <c r="B49" s="33" t="s">
        <v>3812</v>
      </c>
      <c r="C49" s="33" t="s">
        <v>3813</v>
      </c>
      <c r="D49" s="33" t="s">
        <v>3814</v>
      </c>
      <c r="E49" s="33" t="s">
        <v>3815</v>
      </c>
      <c r="F49" s="33" t="s">
        <v>1789</v>
      </c>
    </row>
    <row r="50" spans="1:6" ht="46.5" customHeight="1" x14ac:dyDescent="0.25">
      <c r="A50" s="32" t="s">
        <v>4300</v>
      </c>
      <c r="B50" s="33"/>
      <c r="C50" s="33"/>
      <c r="D50" s="33" t="s">
        <v>4301</v>
      </c>
      <c r="E50" s="33" t="s">
        <v>4302</v>
      </c>
      <c r="F50" s="33" t="s">
        <v>26</v>
      </c>
    </row>
    <row r="51" spans="1:6" ht="31.5" customHeight="1" x14ac:dyDescent="0.25">
      <c r="A51" s="32" t="s">
        <v>3840</v>
      </c>
      <c r="B51" s="33" t="s">
        <v>3841</v>
      </c>
      <c r="C51" s="33" t="s">
        <v>1109</v>
      </c>
      <c r="D51" s="33" t="s">
        <v>3842</v>
      </c>
      <c r="E51" s="33" t="s">
        <v>3843</v>
      </c>
      <c r="F51" s="33" t="s">
        <v>3844</v>
      </c>
    </row>
    <row r="52" spans="1:6" ht="31.5" customHeight="1" x14ac:dyDescent="0.25">
      <c r="A52" s="32" t="s">
        <v>4081</v>
      </c>
      <c r="B52" s="33" t="s">
        <v>4082</v>
      </c>
      <c r="C52" s="33"/>
      <c r="D52" s="33" t="s">
        <v>4083</v>
      </c>
      <c r="E52" s="33" t="s">
        <v>4084</v>
      </c>
      <c r="F52" s="33" t="s">
        <v>1789</v>
      </c>
    </row>
    <row r="53" spans="1:6" ht="31.5" customHeight="1" x14ac:dyDescent="0.25">
      <c r="A53" s="32" t="s">
        <v>3966</v>
      </c>
      <c r="B53" s="33" t="s">
        <v>3967</v>
      </c>
      <c r="C53" s="33"/>
      <c r="D53" s="33" t="s">
        <v>3968</v>
      </c>
      <c r="E53" s="33" t="s">
        <v>3969</v>
      </c>
      <c r="F53" s="33" t="s">
        <v>74</v>
      </c>
    </row>
    <row r="54" spans="1:6" ht="63.75" customHeight="1" x14ac:dyDescent="0.25">
      <c r="A54" s="32" t="s">
        <v>4361</v>
      </c>
      <c r="B54" s="33"/>
      <c r="C54" s="33"/>
      <c r="D54" s="33" t="s">
        <v>4362</v>
      </c>
      <c r="E54" s="33" t="s">
        <v>4363</v>
      </c>
      <c r="F54" s="33" t="s">
        <v>13</v>
      </c>
    </row>
    <row r="55" spans="1:6" ht="31.5" customHeight="1" x14ac:dyDescent="0.25">
      <c r="A55" s="32" t="s">
        <v>3875</v>
      </c>
      <c r="B55" s="33" t="s">
        <v>3876</v>
      </c>
      <c r="C55" s="33"/>
      <c r="D55" s="33" t="s">
        <v>3877</v>
      </c>
      <c r="E55" s="33" t="s">
        <v>3878</v>
      </c>
      <c r="F55" s="33" t="s">
        <v>26</v>
      </c>
    </row>
    <row r="56" spans="1:6" ht="31.5" customHeight="1" x14ac:dyDescent="0.25">
      <c r="A56" s="32" t="s">
        <v>4055</v>
      </c>
      <c r="B56" s="33" t="s">
        <v>4056</v>
      </c>
      <c r="C56" s="33"/>
      <c r="D56" s="33" t="s">
        <v>4057</v>
      </c>
      <c r="E56" s="33" t="s">
        <v>4058</v>
      </c>
      <c r="F56" s="33" t="s">
        <v>26</v>
      </c>
    </row>
    <row r="57" spans="1:6" ht="31.5" customHeight="1" x14ac:dyDescent="0.25">
      <c r="A57" s="32" t="s">
        <v>3879</v>
      </c>
      <c r="B57" s="33" t="s">
        <v>3880</v>
      </c>
      <c r="C57" s="33"/>
      <c r="D57" s="33" t="s">
        <v>3881</v>
      </c>
      <c r="E57" s="33" t="s">
        <v>3882</v>
      </c>
      <c r="F57" s="33" t="s">
        <v>26</v>
      </c>
    </row>
    <row r="58" spans="1:6" ht="31.5" customHeight="1" x14ac:dyDescent="0.25">
      <c r="A58" s="32" t="s">
        <v>3858</v>
      </c>
      <c r="B58" s="33" t="s">
        <v>3859</v>
      </c>
      <c r="C58" s="33" t="s">
        <v>3860</v>
      </c>
      <c r="D58" s="33" t="s">
        <v>3861</v>
      </c>
      <c r="E58" s="33" t="s">
        <v>3862</v>
      </c>
      <c r="F58" s="33" t="s">
        <v>26</v>
      </c>
    </row>
    <row r="59" spans="1:6" ht="31.5" customHeight="1" x14ac:dyDescent="0.25">
      <c r="A59" s="32" t="s">
        <v>3775</v>
      </c>
      <c r="B59" s="33" t="s">
        <v>3776</v>
      </c>
      <c r="C59" s="33"/>
      <c r="D59" s="33" t="s">
        <v>3777</v>
      </c>
      <c r="E59" s="33" t="s">
        <v>3778</v>
      </c>
      <c r="F59" s="33" t="s">
        <v>26</v>
      </c>
    </row>
    <row r="60" spans="1:6" ht="31.5" customHeight="1" x14ac:dyDescent="0.25">
      <c r="A60" s="32" t="s">
        <v>3927</v>
      </c>
      <c r="B60" s="33" t="s">
        <v>3928</v>
      </c>
      <c r="C60" s="33"/>
      <c r="D60" s="33" t="s">
        <v>3929</v>
      </c>
      <c r="E60" s="33" t="s">
        <v>4373</v>
      </c>
      <c r="F60" s="33" t="s">
        <v>145</v>
      </c>
    </row>
    <row r="61" spans="1:6" ht="31.5" customHeight="1" x14ac:dyDescent="0.25">
      <c r="A61" s="32" t="s">
        <v>4305</v>
      </c>
      <c r="B61" s="33"/>
      <c r="C61" s="33" t="s">
        <v>2120</v>
      </c>
      <c r="D61" s="33" t="s">
        <v>4306</v>
      </c>
      <c r="E61" s="33" t="s">
        <v>4307</v>
      </c>
      <c r="F61" s="33" t="s">
        <v>57</v>
      </c>
    </row>
    <row r="62" spans="1:6" ht="31.5" customHeight="1" x14ac:dyDescent="0.25">
      <c r="A62" s="32" t="s">
        <v>4308</v>
      </c>
      <c r="B62" s="33"/>
      <c r="C62" s="33"/>
      <c r="D62" s="33" t="s">
        <v>4309</v>
      </c>
      <c r="E62" s="33" t="s">
        <v>4310</v>
      </c>
      <c r="F62" s="33" t="s">
        <v>57</v>
      </c>
    </row>
    <row r="63" spans="1:6" ht="54.75" customHeight="1" x14ac:dyDescent="0.25">
      <c r="A63" s="32" t="s">
        <v>3779</v>
      </c>
      <c r="B63" s="33" t="s">
        <v>3780</v>
      </c>
      <c r="C63" s="33" t="s">
        <v>3781</v>
      </c>
      <c r="D63" s="33" t="s">
        <v>3782</v>
      </c>
      <c r="E63" s="33" t="s">
        <v>3783</v>
      </c>
      <c r="F63" s="33" t="s">
        <v>57</v>
      </c>
    </row>
    <row r="64" spans="1:6" ht="95.25" customHeight="1" x14ac:dyDescent="0.25">
      <c r="A64" s="32" t="s">
        <v>4332</v>
      </c>
      <c r="B64" s="33"/>
      <c r="C64" s="33"/>
      <c r="D64" s="33" t="s">
        <v>4333</v>
      </c>
      <c r="E64" s="33" t="s">
        <v>4334</v>
      </c>
      <c r="F64" s="33" t="s">
        <v>26</v>
      </c>
    </row>
    <row r="65" spans="1:6" ht="72.75" customHeight="1" x14ac:dyDescent="0.25">
      <c r="A65" s="32" t="s">
        <v>4288</v>
      </c>
      <c r="B65" s="33"/>
      <c r="C65" s="33"/>
      <c r="D65" s="33" t="s">
        <v>4289</v>
      </c>
      <c r="E65" s="33" t="s">
        <v>4290</v>
      </c>
      <c r="F65" s="33" t="s">
        <v>26</v>
      </c>
    </row>
    <row r="66" spans="1:6" ht="31.5" customHeight="1" x14ac:dyDescent="0.25">
      <c r="A66" s="32" t="s">
        <v>4030</v>
      </c>
      <c r="B66" s="33" t="s">
        <v>4031</v>
      </c>
      <c r="C66" s="33"/>
      <c r="D66" s="33" t="s">
        <v>4032</v>
      </c>
      <c r="E66" s="33" t="s">
        <v>4033</v>
      </c>
      <c r="F66" s="33" t="s">
        <v>145</v>
      </c>
    </row>
    <row r="67" spans="1:6" ht="31.5" customHeight="1" x14ac:dyDescent="0.25">
      <c r="A67" s="32" t="s">
        <v>4357</v>
      </c>
      <c r="B67" s="33"/>
      <c r="C67" s="33"/>
      <c r="D67" s="33" t="s">
        <v>4358</v>
      </c>
      <c r="E67" s="33" t="s">
        <v>4359</v>
      </c>
      <c r="F67" s="33" t="s">
        <v>57</v>
      </c>
    </row>
    <row r="68" spans="1:6" ht="31.5" customHeight="1" x14ac:dyDescent="0.25">
      <c r="A68" s="32" t="s">
        <v>4357</v>
      </c>
      <c r="B68" s="33"/>
      <c r="C68" s="33"/>
      <c r="D68" s="33" t="s">
        <v>4358</v>
      </c>
      <c r="E68" s="33" t="s">
        <v>4360</v>
      </c>
      <c r="F68" s="33" t="s">
        <v>57</v>
      </c>
    </row>
    <row r="69" spans="1:6" ht="31.5" customHeight="1" x14ac:dyDescent="0.25">
      <c r="A69" s="32" t="s">
        <v>4364</v>
      </c>
      <c r="B69" s="33"/>
      <c r="C69" s="33"/>
      <c r="D69" s="33" t="s">
        <v>4365</v>
      </c>
      <c r="E69" s="33" t="s">
        <v>4366</v>
      </c>
      <c r="F69" s="33" t="s">
        <v>2111</v>
      </c>
    </row>
    <row r="70" spans="1:6" ht="31.5" customHeight="1" x14ac:dyDescent="0.25">
      <c r="A70" s="32" t="s">
        <v>3832</v>
      </c>
      <c r="B70" s="33" t="s">
        <v>3833</v>
      </c>
      <c r="C70" s="33" t="s">
        <v>1109</v>
      </c>
      <c r="D70" s="33" t="s">
        <v>3834</v>
      </c>
      <c r="E70" s="33" t="s">
        <v>3835</v>
      </c>
      <c r="F70" s="33" t="s">
        <v>13</v>
      </c>
    </row>
    <row r="71" spans="1:6" ht="31.5" customHeight="1" x14ac:dyDescent="0.25">
      <c r="A71" s="32" t="s">
        <v>3807</v>
      </c>
      <c r="B71" s="33" t="s">
        <v>3808</v>
      </c>
      <c r="C71" s="33"/>
      <c r="D71" s="33" t="s">
        <v>3809</v>
      </c>
      <c r="E71" s="33" t="s">
        <v>3810</v>
      </c>
      <c r="F71" s="33" t="s">
        <v>145</v>
      </c>
    </row>
    <row r="72" spans="1:6" ht="56.25" customHeight="1" x14ac:dyDescent="0.25">
      <c r="A72" s="32" t="s">
        <v>3792</v>
      </c>
      <c r="B72" s="33" t="s">
        <v>3793</v>
      </c>
      <c r="C72" s="33"/>
      <c r="D72" s="33" t="s">
        <v>3794</v>
      </c>
      <c r="E72" s="33" t="s">
        <v>3787</v>
      </c>
      <c r="F72" s="33" t="s">
        <v>1789</v>
      </c>
    </row>
    <row r="73" spans="1:6" ht="31.5" customHeight="1" x14ac:dyDescent="0.25">
      <c r="A73" s="32" t="s">
        <v>3824</v>
      </c>
      <c r="B73" s="33" t="s">
        <v>3825</v>
      </c>
      <c r="C73" s="33"/>
      <c r="D73" s="33" t="s">
        <v>3826</v>
      </c>
      <c r="E73" s="33" t="s">
        <v>3827</v>
      </c>
      <c r="F73" s="33" t="s">
        <v>145</v>
      </c>
    </row>
    <row r="74" spans="1:6" ht="31.5" customHeight="1" x14ac:dyDescent="0.25">
      <c r="A74" s="32" t="s">
        <v>3982</v>
      </c>
      <c r="B74" s="33" t="s">
        <v>3983</v>
      </c>
      <c r="C74" s="33"/>
      <c r="D74" s="33" t="s">
        <v>3984</v>
      </c>
      <c r="E74" s="33" t="s">
        <v>3985</v>
      </c>
      <c r="F74" s="33" t="s">
        <v>57</v>
      </c>
    </row>
    <row r="75" spans="1:6" ht="31.5" customHeight="1" x14ac:dyDescent="0.25">
      <c r="A75" s="32" t="s">
        <v>4367</v>
      </c>
      <c r="B75" s="33"/>
      <c r="C75" s="33"/>
      <c r="D75" s="33" t="s">
        <v>4368</v>
      </c>
      <c r="E75" s="33" t="s">
        <v>4369</v>
      </c>
      <c r="F75" s="33" t="s">
        <v>145</v>
      </c>
    </row>
    <row r="76" spans="1:6" ht="31.5" customHeight="1" x14ac:dyDescent="0.25">
      <c r="A76" s="32" t="s">
        <v>3930</v>
      </c>
      <c r="B76" s="33" t="s">
        <v>2546</v>
      </c>
      <c r="C76" s="33"/>
      <c r="D76" s="33" t="s">
        <v>3931</v>
      </c>
      <c r="E76" s="33" t="s">
        <v>3932</v>
      </c>
      <c r="F76" s="33" t="s">
        <v>13</v>
      </c>
    </row>
    <row r="77" spans="1:6" ht="31.5" customHeight="1" x14ac:dyDescent="0.25">
      <c r="A77" s="32" t="s">
        <v>3901</v>
      </c>
      <c r="B77" s="33" t="s">
        <v>3902</v>
      </c>
      <c r="C77" s="33"/>
      <c r="D77" s="33" t="s">
        <v>3903</v>
      </c>
      <c r="E77" s="33" t="s">
        <v>3904</v>
      </c>
      <c r="F77" s="33" t="s">
        <v>13</v>
      </c>
    </row>
    <row r="78" spans="1:6" ht="31.5" customHeight="1" x14ac:dyDescent="0.25">
      <c r="A78" s="32" t="s">
        <v>3933</v>
      </c>
      <c r="B78" s="33" t="s">
        <v>3934</v>
      </c>
      <c r="C78" s="33"/>
      <c r="D78" s="33" t="s">
        <v>3935</v>
      </c>
      <c r="E78" s="33" t="s">
        <v>3936</v>
      </c>
      <c r="F78" s="33" t="s">
        <v>74</v>
      </c>
    </row>
    <row r="79" spans="1:6" ht="31.5" customHeight="1" x14ac:dyDescent="0.25">
      <c r="A79" s="32" t="s">
        <v>4038</v>
      </c>
      <c r="B79" s="33" t="s">
        <v>4039</v>
      </c>
      <c r="C79" s="33" t="s">
        <v>4040</v>
      </c>
      <c r="D79" s="33" t="s">
        <v>4041</v>
      </c>
      <c r="E79" s="33" t="s">
        <v>4042</v>
      </c>
      <c r="F79" s="33" t="s">
        <v>1789</v>
      </c>
    </row>
    <row r="80" spans="1:6" ht="31.5" customHeight="1" x14ac:dyDescent="0.25">
      <c r="A80" s="32" t="s">
        <v>4267</v>
      </c>
      <c r="B80" s="33"/>
      <c r="C80" s="33"/>
      <c r="D80" s="33" t="s">
        <v>4268</v>
      </c>
      <c r="E80" s="33" t="s">
        <v>4269</v>
      </c>
      <c r="F80" s="33" t="s">
        <v>26</v>
      </c>
    </row>
    <row r="81" spans="1:6" ht="31.5" customHeight="1" x14ac:dyDescent="0.25">
      <c r="A81" s="32" t="s">
        <v>3845</v>
      </c>
      <c r="B81" s="33" t="s">
        <v>3846</v>
      </c>
      <c r="C81" s="33" t="s">
        <v>1637</v>
      </c>
      <c r="D81" s="33" t="s">
        <v>3847</v>
      </c>
      <c r="E81" s="33" t="s">
        <v>3848</v>
      </c>
      <c r="F81" s="33" t="s">
        <v>74</v>
      </c>
    </row>
    <row r="82" spans="1:6" ht="31.5" customHeight="1" x14ac:dyDescent="0.25">
      <c r="A82" s="32" t="s">
        <v>4351</v>
      </c>
      <c r="B82" s="33"/>
      <c r="C82" s="33" t="s">
        <v>1059</v>
      </c>
      <c r="D82" s="33" t="s">
        <v>4352</v>
      </c>
      <c r="E82" s="33" t="s">
        <v>4353</v>
      </c>
      <c r="F82" s="33" t="s">
        <v>74</v>
      </c>
    </row>
    <row r="83" spans="1:6" ht="70.5" customHeight="1" x14ac:dyDescent="0.25">
      <c r="A83" s="32" t="s">
        <v>3788</v>
      </c>
      <c r="B83" s="33" t="s">
        <v>3789</v>
      </c>
      <c r="C83" s="33"/>
      <c r="D83" s="33" t="s">
        <v>3790</v>
      </c>
      <c r="E83" s="33" t="s">
        <v>3791</v>
      </c>
      <c r="F83" s="33" t="s">
        <v>1789</v>
      </c>
    </row>
    <row r="84" spans="1:6" ht="54.75" customHeight="1" x14ac:dyDescent="0.25">
      <c r="A84" s="32" t="s">
        <v>4013</v>
      </c>
      <c r="B84" s="33" t="s">
        <v>4014</v>
      </c>
      <c r="C84" s="33"/>
      <c r="D84" s="33" t="s">
        <v>4015</v>
      </c>
      <c r="E84" s="33" t="s">
        <v>4016</v>
      </c>
      <c r="F84" s="33" t="s">
        <v>26</v>
      </c>
    </row>
    <row r="85" spans="1:6" ht="66.75" customHeight="1" x14ac:dyDescent="0.25">
      <c r="A85" s="32" t="s">
        <v>3888</v>
      </c>
      <c r="B85" s="33" t="s">
        <v>3889</v>
      </c>
      <c r="C85" s="33"/>
      <c r="D85" s="33" t="s">
        <v>3890</v>
      </c>
      <c r="E85" s="33" t="s">
        <v>3891</v>
      </c>
      <c r="F85" s="33" t="s">
        <v>1789</v>
      </c>
    </row>
    <row r="86" spans="1:6" ht="84" customHeight="1" x14ac:dyDescent="0.25">
      <c r="A86" s="32" t="s">
        <v>4276</v>
      </c>
      <c r="B86" s="33"/>
      <c r="C86" s="33"/>
      <c r="D86" s="33" t="s">
        <v>4277</v>
      </c>
      <c r="E86" s="33" t="s">
        <v>4278</v>
      </c>
      <c r="F86" s="33" t="s">
        <v>145</v>
      </c>
    </row>
    <row r="87" spans="1:6" ht="64.5" customHeight="1" x14ac:dyDescent="0.25">
      <c r="A87" s="32" t="s">
        <v>3795</v>
      </c>
      <c r="B87" s="33" t="s">
        <v>3796</v>
      </c>
      <c r="C87" s="33"/>
      <c r="D87" s="33" t="s">
        <v>3797</v>
      </c>
      <c r="E87" s="33" t="s">
        <v>3798</v>
      </c>
      <c r="F87" s="33" t="s">
        <v>57</v>
      </c>
    </row>
    <row r="88" spans="1:6" ht="49.5" customHeight="1" x14ac:dyDescent="0.25">
      <c r="A88" s="32" t="s">
        <v>4380</v>
      </c>
      <c r="B88" s="33" t="s">
        <v>3953</v>
      </c>
      <c r="C88" s="33"/>
      <c r="D88" s="33" t="s">
        <v>3956</v>
      </c>
      <c r="E88" s="33" t="s">
        <v>3957</v>
      </c>
      <c r="F88" s="33" t="s">
        <v>13</v>
      </c>
    </row>
    <row r="89" spans="1:6" ht="31.5" customHeight="1" x14ac:dyDescent="0.25">
      <c r="A89" s="32" t="s">
        <v>4008</v>
      </c>
      <c r="B89" s="33" t="s">
        <v>4009</v>
      </c>
      <c r="C89" s="33"/>
      <c r="D89" s="33" t="s">
        <v>4010</v>
      </c>
      <c r="E89" s="33" t="s">
        <v>4011</v>
      </c>
      <c r="F89" s="33" t="s">
        <v>4012</v>
      </c>
    </row>
    <row r="90" spans="1:6" ht="31.5" customHeight="1" x14ac:dyDescent="0.25">
      <c r="A90" s="32" t="s">
        <v>3913</v>
      </c>
      <c r="B90" s="33" t="s">
        <v>3914</v>
      </c>
      <c r="C90" s="33"/>
      <c r="D90" s="33" t="s">
        <v>3915</v>
      </c>
      <c r="E90" s="33" t="s">
        <v>3916</v>
      </c>
      <c r="F90" s="33" t="s">
        <v>3917</v>
      </c>
    </row>
    <row r="91" spans="1:6" ht="31.5" customHeight="1" x14ac:dyDescent="0.25">
      <c r="A91" s="32" t="s">
        <v>4314</v>
      </c>
      <c r="B91" s="33"/>
      <c r="C91" s="33" t="s">
        <v>2379</v>
      </c>
      <c r="D91" s="33" t="s">
        <v>4315</v>
      </c>
      <c r="E91" s="33" t="s">
        <v>4316</v>
      </c>
      <c r="F91" s="33" t="s">
        <v>57</v>
      </c>
    </row>
    <row r="92" spans="1:6" ht="31.5" customHeight="1" x14ac:dyDescent="0.25">
      <c r="A92" s="32" t="s">
        <v>3979</v>
      </c>
      <c r="B92" s="33" t="s">
        <v>3980</v>
      </c>
      <c r="C92" s="33"/>
      <c r="D92" s="33" t="s">
        <v>2985</v>
      </c>
      <c r="E92" s="33" t="s">
        <v>3981</v>
      </c>
      <c r="F92" s="33" t="s">
        <v>145</v>
      </c>
    </row>
    <row r="93" spans="1:6" ht="38.25" customHeight="1" x14ac:dyDescent="0.25">
      <c r="A93" s="32" t="s">
        <v>4311</v>
      </c>
      <c r="B93" s="33"/>
      <c r="C93" s="33"/>
      <c r="D93" s="33" t="s">
        <v>4312</v>
      </c>
      <c r="E93" s="33" t="s">
        <v>4313</v>
      </c>
      <c r="F93" s="33" t="s">
        <v>57</v>
      </c>
    </row>
    <row r="94" spans="1:6" ht="31.5" customHeight="1" x14ac:dyDescent="0.25">
      <c r="A94" s="32" t="s">
        <v>4354</v>
      </c>
      <c r="B94" s="33"/>
      <c r="C94" s="33" t="s">
        <v>4355</v>
      </c>
      <c r="D94" s="33" t="s">
        <v>4356</v>
      </c>
      <c r="E94" s="33" t="s">
        <v>3857</v>
      </c>
      <c r="F94" s="33" t="s">
        <v>74</v>
      </c>
    </row>
    <row r="95" spans="1:6" ht="31.5" customHeight="1" x14ac:dyDescent="0.25">
      <c r="A95" s="32" t="s">
        <v>3866</v>
      </c>
      <c r="B95" s="33" t="s">
        <v>3867</v>
      </c>
      <c r="C95" s="33"/>
      <c r="D95" s="33" t="s">
        <v>3868</v>
      </c>
      <c r="E95" s="33" t="s">
        <v>3869</v>
      </c>
      <c r="F95" s="33" t="s">
        <v>145</v>
      </c>
    </row>
    <row r="96" spans="1:6" ht="31.5" customHeight="1" x14ac:dyDescent="0.25">
      <c r="A96" s="32" t="s">
        <v>4326</v>
      </c>
      <c r="B96" s="33"/>
      <c r="C96" s="33"/>
      <c r="D96" s="33" t="s">
        <v>4327</v>
      </c>
      <c r="E96" s="33" t="s">
        <v>4328</v>
      </c>
      <c r="F96" s="33" t="s">
        <v>4329</v>
      </c>
    </row>
    <row r="97" spans="1:6" ht="31.5" customHeight="1" x14ac:dyDescent="0.25">
      <c r="A97" s="32" t="s">
        <v>4034</v>
      </c>
      <c r="B97" s="33" t="s">
        <v>4035</v>
      </c>
      <c r="C97" s="33"/>
      <c r="D97" s="33" t="s">
        <v>2296</v>
      </c>
      <c r="E97" s="33" t="s">
        <v>4036</v>
      </c>
      <c r="F97" s="33" t="s">
        <v>4037</v>
      </c>
    </row>
    <row r="98" spans="1:6" ht="31.5" customHeight="1" x14ac:dyDescent="0.25">
      <c r="A98" s="32" t="s">
        <v>4043</v>
      </c>
      <c r="B98" s="33" t="s">
        <v>4044</v>
      </c>
      <c r="C98" s="33" t="s">
        <v>4045</v>
      </c>
      <c r="D98" s="33" t="s">
        <v>2380</v>
      </c>
      <c r="E98" s="33" t="s">
        <v>4046</v>
      </c>
      <c r="F98" s="33" t="s">
        <v>57</v>
      </c>
    </row>
    <row r="99" spans="1:6" ht="31.5" customHeight="1" x14ac:dyDescent="0.25">
      <c r="A99" s="32" t="s">
        <v>3816</v>
      </c>
      <c r="B99" s="33" t="s">
        <v>3817</v>
      </c>
      <c r="C99" s="33" t="s">
        <v>1109</v>
      </c>
      <c r="D99" s="33" t="s">
        <v>3818</v>
      </c>
      <c r="E99" s="33" t="s">
        <v>3819</v>
      </c>
      <c r="F99" s="33" t="s">
        <v>26</v>
      </c>
    </row>
    <row r="100" spans="1:6" ht="31.5" customHeight="1" x14ac:dyDescent="0.25">
      <c r="A100" s="32" t="s">
        <v>3870</v>
      </c>
      <c r="B100" s="33" t="s">
        <v>3871</v>
      </c>
      <c r="C100" s="33" t="s">
        <v>3872</v>
      </c>
      <c r="D100" s="33" t="s">
        <v>3873</v>
      </c>
      <c r="E100" s="33" t="s">
        <v>3874</v>
      </c>
      <c r="F100" s="33" t="s">
        <v>1789</v>
      </c>
    </row>
    <row r="101" spans="1:6" ht="57.75" customHeight="1" x14ac:dyDescent="0.25">
      <c r="A101" s="32" t="s">
        <v>4246</v>
      </c>
      <c r="B101" s="33"/>
      <c r="C101" s="33" t="s">
        <v>4247</v>
      </c>
      <c r="D101" s="33" t="s">
        <v>4248</v>
      </c>
      <c r="E101" s="33" t="s">
        <v>4249</v>
      </c>
      <c r="F101" s="33" t="s">
        <v>4250</v>
      </c>
    </row>
    <row r="102" spans="1:6" ht="81.75" customHeight="1" x14ac:dyDescent="0.25">
      <c r="A102" s="32" t="s">
        <v>3828</v>
      </c>
      <c r="B102" s="33" t="s">
        <v>3829</v>
      </c>
      <c r="C102" s="33"/>
      <c r="D102" s="33" t="s">
        <v>3830</v>
      </c>
      <c r="E102" s="33" t="s">
        <v>3831</v>
      </c>
      <c r="F102" s="33" t="s">
        <v>2830</v>
      </c>
    </row>
    <row r="103" spans="1:6" ht="48" customHeight="1" x14ac:dyDescent="0.25">
      <c r="A103" s="32" t="s">
        <v>3923</v>
      </c>
      <c r="B103" s="33" t="s">
        <v>3924</v>
      </c>
      <c r="C103" s="33"/>
      <c r="D103" s="33" t="s">
        <v>3925</v>
      </c>
      <c r="E103" s="33" t="s">
        <v>3926</v>
      </c>
      <c r="F103" s="33" t="s">
        <v>57</v>
      </c>
    </row>
    <row r="104" spans="1:6" ht="58.5" customHeight="1" x14ac:dyDescent="0.25">
      <c r="A104" s="32" t="s">
        <v>4294</v>
      </c>
      <c r="B104" s="33"/>
      <c r="C104" s="33"/>
      <c r="D104" s="33" t="s">
        <v>4295</v>
      </c>
      <c r="E104" s="33" t="s">
        <v>4296</v>
      </c>
      <c r="F104" s="33" t="s">
        <v>145</v>
      </c>
    </row>
    <row r="105" spans="1:6" ht="54.75" customHeight="1" x14ac:dyDescent="0.25">
      <c r="A105" s="32" t="s">
        <v>4260</v>
      </c>
      <c r="B105" s="33"/>
      <c r="C105" s="33" t="s">
        <v>4261</v>
      </c>
      <c r="D105" s="33" t="s">
        <v>4262</v>
      </c>
      <c r="E105" s="33" t="s">
        <v>4263</v>
      </c>
      <c r="F105" s="33" t="s">
        <v>26</v>
      </c>
    </row>
    <row r="106" spans="1:6" ht="50.25" customHeight="1" x14ac:dyDescent="0.25">
      <c r="A106" s="32" t="s">
        <v>3986</v>
      </c>
      <c r="B106" s="33" t="s">
        <v>3987</v>
      </c>
      <c r="C106" s="33" t="s">
        <v>3988</v>
      </c>
      <c r="D106" s="33" t="s">
        <v>3989</v>
      </c>
      <c r="E106" s="33" t="s">
        <v>3990</v>
      </c>
      <c r="F106" s="33" t="s">
        <v>26</v>
      </c>
    </row>
    <row r="107" spans="1:6" ht="31.5" customHeight="1" x14ac:dyDescent="0.25">
      <c r="A107" s="32" t="s">
        <v>3892</v>
      </c>
      <c r="B107" s="33" t="s">
        <v>3893</v>
      </c>
      <c r="C107" s="33" t="s">
        <v>3894</v>
      </c>
      <c r="D107" s="33" t="s">
        <v>3895</v>
      </c>
      <c r="E107" s="33" t="s">
        <v>3896</v>
      </c>
      <c r="F107" s="33" t="s">
        <v>1789</v>
      </c>
    </row>
    <row r="108" spans="1:6" ht="31.5" customHeight="1" x14ac:dyDescent="0.25">
      <c r="A108" s="32" t="s">
        <v>3937</v>
      </c>
      <c r="B108" s="33" t="s">
        <v>3938</v>
      </c>
      <c r="C108" s="33" t="s">
        <v>3939</v>
      </c>
      <c r="D108" s="33" t="s">
        <v>3940</v>
      </c>
      <c r="E108" s="33" t="s">
        <v>3941</v>
      </c>
      <c r="F108" s="33" t="s">
        <v>26</v>
      </c>
    </row>
    <row r="109" spans="1:6" ht="31.5" customHeight="1" x14ac:dyDescent="0.25">
      <c r="A109" s="32" t="s">
        <v>3897</v>
      </c>
      <c r="B109" s="33" t="s">
        <v>3893</v>
      </c>
      <c r="C109" s="33" t="s">
        <v>3898</v>
      </c>
      <c r="D109" s="33" t="s">
        <v>3899</v>
      </c>
      <c r="E109" s="33" t="s">
        <v>3900</v>
      </c>
      <c r="F109" s="33" t="s">
        <v>145</v>
      </c>
    </row>
    <row r="110" spans="1:6" ht="53.25" customHeight="1" x14ac:dyDescent="0.25">
      <c r="A110" s="32" t="s">
        <v>4141</v>
      </c>
      <c r="B110" s="33" t="s">
        <v>4142</v>
      </c>
      <c r="C110" s="33"/>
      <c r="D110" s="33" t="s">
        <v>4143</v>
      </c>
      <c r="E110" s="33" t="s">
        <v>4144</v>
      </c>
      <c r="F110" s="33" t="s">
        <v>26</v>
      </c>
    </row>
    <row r="111" spans="1:6" ht="48" customHeight="1" x14ac:dyDescent="0.25">
      <c r="A111" s="32" t="s">
        <v>4335</v>
      </c>
      <c r="B111" s="33"/>
      <c r="C111" s="33"/>
      <c r="D111" s="33" t="s">
        <v>4336</v>
      </c>
      <c r="E111" s="33" t="s">
        <v>4337</v>
      </c>
      <c r="F111" s="33" t="s">
        <v>4338</v>
      </c>
    </row>
    <row r="112" spans="1:6" ht="55.5" customHeight="1" x14ac:dyDescent="0.25">
      <c r="A112" s="32" t="s">
        <v>4120</v>
      </c>
      <c r="B112" s="33" t="s">
        <v>4121</v>
      </c>
      <c r="C112" s="33"/>
      <c r="D112" s="33" t="s">
        <v>4122</v>
      </c>
      <c r="E112" s="33" t="s">
        <v>4123</v>
      </c>
      <c r="F112" s="33" t="s">
        <v>4124</v>
      </c>
    </row>
    <row r="113" spans="1:6" ht="31.5" customHeight="1" x14ac:dyDescent="0.25">
      <c r="A113" s="32" t="s">
        <v>4213</v>
      </c>
      <c r="B113" s="33" t="s">
        <v>4214</v>
      </c>
      <c r="C113" s="33" t="s">
        <v>350</v>
      </c>
      <c r="D113" s="33" t="s">
        <v>4215</v>
      </c>
      <c r="E113" s="33" t="s">
        <v>4216</v>
      </c>
      <c r="F113" s="33" t="s">
        <v>26</v>
      </c>
    </row>
    <row r="114" spans="1:6" ht="72" customHeight="1" x14ac:dyDescent="0.25">
      <c r="A114" s="32" t="s">
        <v>4077</v>
      </c>
      <c r="B114" s="33" t="s">
        <v>4078</v>
      </c>
      <c r="C114" s="33"/>
      <c r="D114" s="33" t="s">
        <v>4079</v>
      </c>
      <c r="E114" s="33" t="s">
        <v>4080</v>
      </c>
      <c r="F114" s="33" t="s">
        <v>1789</v>
      </c>
    </row>
    <row r="115" spans="1:6" ht="60" customHeight="1" x14ac:dyDescent="0.25">
      <c r="A115" s="32" t="s">
        <v>4199</v>
      </c>
      <c r="B115" s="33" t="s">
        <v>4200</v>
      </c>
      <c r="C115" s="33"/>
      <c r="D115" s="33" t="s">
        <v>581</v>
      </c>
      <c r="E115" s="33" t="s">
        <v>4201</v>
      </c>
      <c r="F115" s="33" t="s">
        <v>26</v>
      </c>
    </row>
    <row r="116" spans="1:6" ht="31.5" customHeight="1" x14ac:dyDescent="0.25">
      <c r="A116" s="32" t="s">
        <v>4073</v>
      </c>
      <c r="B116" s="33" t="s">
        <v>4074</v>
      </c>
      <c r="C116" s="33"/>
      <c r="D116" s="33" t="s">
        <v>4075</v>
      </c>
      <c r="E116" s="33" t="s">
        <v>4076</v>
      </c>
      <c r="F116" s="33" t="s">
        <v>26</v>
      </c>
    </row>
    <row r="117" spans="1:6" ht="31.5" customHeight="1" x14ac:dyDescent="0.25">
      <c r="A117" s="32" t="s">
        <v>4194</v>
      </c>
      <c r="B117" s="33" t="s">
        <v>4195</v>
      </c>
      <c r="C117" s="33" t="s">
        <v>151</v>
      </c>
      <c r="D117" s="33" t="s">
        <v>581</v>
      </c>
      <c r="E117" s="33" t="s">
        <v>4196</v>
      </c>
      <c r="F117" s="33" t="s">
        <v>145</v>
      </c>
    </row>
    <row r="118" spans="1:6" ht="31.5" customHeight="1" x14ac:dyDescent="0.25">
      <c r="A118" s="32" t="s">
        <v>4129</v>
      </c>
      <c r="B118" s="33" t="s">
        <v>4130</v>
      </c>
      <c r="C118" s="33"/>
      <c r="D118" s="33" t="s">
        <v>4131</v>
      </c>
      <c r="E118" s="33" t="s">
        <v>4132</v>
      </c>
      <c r="F118" s="33" t="s">
        <v>26</v>
      </c>
    </row>
    <row r="119" spans="1:6" ht="72" customHeight="1" x14ac:dyDescent="0.25">
      <c r="A119" s="32" t="s">
        <v>4168</v>
      </c>
      <c r="B119" s="33" t="s">
        <v>4169</v>
      </c>
      <c r="C119" s="33"/>
      <c r="D119" s="33" t="s">
        <v>356</v>
      </c>
      <c r="E119" s="33" t="s">
        <v>4170</v>
      </c>
      <c r="F119" s="33" t="s">
        <v>26</v>
      </c>
    </row>
    <row r="120" spans="1:6" ht="31.5" customHeight="1" x14ac:dyDescent="0.25">
      <c r="A120" s="32" t="s">
        <v>4341</v>
      </c>
      <c r="B120" s="33"/>
      <c r="C120" s="33"/>
      <c r="D120" s="33" t="s">
        <v>4342</v>
      </c>
      <c r="E120" s="33" t="s">
        <v>4343</v>
      </c>
      <c r="F120" s="33" t="s">
        <v>145</v>
      </c>
    </row>
    <row r="121" spans="1:6" ht="60.75" customHeight="1" x14ac:dyDescent="0.25">
      <c r="A121" s="32" t="s">
        <v>4105</v>
      </c>
      <c r="B121" s="33" t="s">
        <v>4106</v>
      </c>
      <c r="C121" s="33" t="s">
        <v>151</v>
      </c>
      <c r="D121" s="33" t="s">
        <v>94</v>
      </c>
      <c r="E121" s="33" t="s">
        <v>4107</v>
      </c>
      <c r="F121" s="33" t="s">
        <v>26</v>
      </c>
    </row>
    <row r="122" spans="1:6" ht="31.5" customHeight="1" x14ac:dyDescent="0.25">
      <c r="A122" s="32" t="s">
        <v>4183</v>
      </c>
      <c r="B122" s="33" t="s">
        <v>4184</v>
      </c>
      <c r="C122" s="33"/>
      <c r="D122" s="33" t="s">
        <v>27</v>
      </c>
      <c r="E122" s="33" t="s">
        <v>4185</v>
      </c>
      <c r="F122" s="33" t="s">
        <v>26</v>
      </c>
    </row>
    <row r="123" spans="1:6" ht="31.5" customHeight="1" x14ac:dyDescent="0.25">
      <c r="A123" s="32" t="s">
        <v>4171</v>
      </c>
      <c r="B123" s="33" t="s">
        <v>4172</v>
      </c>
      <c r="C123" s="33"/>
      <c r="D123" s="33" t="s">
        <v>4173</v>
      </c>
      <c r="E123" s="33" t="s">
        <v>4174</v>
      </c>
      <c r="F123" s="33" t="s">
        <v>26</v>
      </c>
    </row>
    <row r="124" spans="1:6" ht="31.5" customHeight="1" x14ac:dyDescent="0.25">
      <c r="A124" s="32" t="s">
        <v>4149</v>
      </c>
      <c r="B124" s="33" t="s">
        <v>4150</v>
      </c>
      <c r="C124" s="33"/>
      <c r="D124" s="33" t="s">
        <v>4151</v>
      </c>
      <c r="E124" s="33" t="s">
        <v>4152</v>
      </c>
      <c r="F124" s="33" t="s">
        <v>74</v>
      </c>
    </row>
    <row r="125" spans="1:6" ht="57.75" customHeight="1" x14ac:dyDescent="0.25">
      <c r="A125" s="32" t="s">
        <v>4137</v>
      </c>
      <c r="B125" s="33" t="s">
        <v>4138</v>
      </c>
      <c r="C125" s="33" t="s">
        <v>155</v>
      </c>
      <c r="D125" s="33" t="s">
        <v>4139</v>
      </c>
      <c r="E125" s="33" t="s">
        <v>4140</v>
      </c>
      <c r="F125" s="33" t="s">
        <v>26</v>
      </c>
    </row>
    <row r="126" spans="1:6" ht="31.5" customHeight="1" x14ac:dyDescent="0.25">
      <c r="A126" s="32" t="s">
        <v>4108</v>
      </c>
      <c r="B126" s="33" t="s">
        <v>4109</v>
      </c>
      <c r="C126" s="33"/>
      <c r="D126" s="33" t="s">
        <v>4110</v>
      </c>
      <c r="E126" s="33" t="s">
        <v>4111</v>
      </c>
      <c r="F126" s="33" t="s">
        <v>26</v>
      </c>
    </row>
    <row r="127" spans="1:6" ht="51" customHeight="1" x14ac:dyDescent="0.25">
      <c r="A127" s="32" t="s">
        <v>4238</v>
      </c>
      <c r="B127" s="33"/>
      <c r="C127" s="33"/>
      <c r="D127" s="33" t="s">
        <v>4239</v>
      </c>
      <c r="E127" s="33" t="s">
        <v>4381</v>
      </c>
      <c r="F127" s="33" t="s">
        <v>26</v>
      </c>
    </row>
    <row r="128" spans="1:6" ht="31.5" customHeight="1" x14ac:dyDescent="0.25">
      <c r="A128" s="32" t="s">
        <v>4209</v>
      </c>
      <c r="B128" s="33" t="s">
        <v>4210</v>
      </c>
      <c r="C128" s="33"/>
      <c r="D128" s="33" t="s">
        <v>4211</v>
      </c>
      <c r="E128" s="33" t="s">
        <v>4212</v>
      </c>
      <c r="F128" s="33" t="s">
        <v>26</v>
      </c>
    </row>
    <row r="129" spans="1:6" ht="55.5" customHeight="1" x14ac:dyDescent="0.25">
      <c r="A129" s="32" t="s">
        <v>4116</v>
      </c>
      <c r="B129" s="33" t="s">
        <v>4117</v>
      </c>
      <c r="C129" s="33"/>
      <c r="D129" s="33" t="s">
        <v>4118</v>
      </c>
      <c r="E129" s="33" t="s">
        <v>4119</v>
      </c>
      <c r="F129" s="33" t="s">
        <v>57</v>
      </c>
    </row>
    <row r="130" spans="1:6" ht="68.25" customHeight="1" x14ac:dyDescent="0.25">
      <c r="A130" s="32" t="s">
        <v>4330</v>
      </c>
      <c r="B130" s="33"/>
      <c r="C130" s="33" t="s">
        <v>146</v>
      </c>
      <c r="D130" s="33" t="s">
        <v>27</v>
      </c>
      <c r="E130" s="33" t="s">
        <v>4331</v>
      </c>
      <c r="F130" s="33" t="s">
        <v>57</v>
      </c>
    </row>
    <row r="131" spans="1:6" ht="31.5" customHeight="1" x14ac:dyDescent="0.25">
      <c r="A131" s="32" t="s">
        <v>4100</v>
      </c>
      <c r="B131" s="33" t="s">
        <v>4101</v>
      </c>
      <c r="C131" s="33" t="s">
        <v>4102</v>
      </c>
      <c r="D131" s="33" t="s">
        <v>4103</v>
      </c>
      <c r="E131" s="33" t="s">
        <v>4104</v>
      </c>
      <c r="F131" s="33" t="s">
        <v>57</v>
      </c>
    </row>
    <row r="132" spans="1:6" ht="45" customHeight="1" x14ac:dyDescent="0.25">
      <c r="A132" s="32" t="s">
        <v>4320</v>
      </c>
      <c r="B132" s="33"/>
      <c r="C132" s="33"/>
      <c r="D132" s="33" t="s">
        <v>184</v>
      </c>
      <c r="E132" s="33" t="s">
        <v>4321</v>
      </c>
      <c r="F132" s="33" t="s">
        <v>57</v>
      </c>
    </row>
    <row r="133" spans="1:6" ht="72" customHeight="1" x14ac:dyDescent="0.25">
      <c r="A133" s="32" t="s">
        <v>4221</v>
      </c>
      <c r="B133" s="33" t="s">
        <v>4222</v>
      </c>
      <c r="C133" s="33"/>
      <c r="D133" s="33" t="s">
        <v>581</v>
      </c>
      <c r="E133" s="33" t="s">
        <v>4223</v>
      </c>
      <c r="F133" s="33" t="s">
        <v>57</v>
      </c>
    </row>
    <row r="134" spans="1:6" ht="80.25" customHeight="1" x14ac:dyDescent="0.25">
      <c r="A134" s="32" t="s">
        <v>4175</v>
      </c>
      <c r="B134" s="33" t="s">
        <v>4176</v>
      </c>
      <c r="C134" s="33"/>
      <c r="D134" s="33" t="s">
        <v>4177</v>
      </c>
      <c r="E134" s="33" t="s">
        <v>4178</v>
      </c>
      <c r="F134" s="33" t="s">
        <v>26</v>
      </c>
    </row>
    <row r="135" spans="1:6" ht="63" customHeight="1" x14ac:dyDescent="0.25">
      <c r="A135" s="32" t="s">
        <v>4164</v>
      </c>
      <c r="B135" s="33" t="s">
        <v>4165</v>
      </c>
      <c r="C135" s="33"/>
      <c r="D135" s="33" t="s">
        <v>4166</v>
      </c>
      <c r="E135" s="33" t="s">
        <v>4167</v>
      </c>
      <c r="F135" s="33" t="s">
        <v>26</v>
      </c>
    </row>
    <row r="136" spans="1:6" ht="105.75" customHeight="1" x14ac:dyDescent="0.25">
      <c r="A136" s="32" t="s">
        <v>4240</v>
      </c>
      <c r="B136" s="33"/>
      <c r="C136" s="33"/>
      <c r="D136" s="33" t="s">
        <v>4241</v>
      </c>
      <c r="E136" s="33" t="s">
        <v>4242</v>
      </c>
      <c r="F136" s="33" t="s">
        <v>26</v>
      </c>
    </row>
    <row r="137" spans="1:6" ht="81" customHeight="1" x14ac:dyDescent="0.25">
      <c r="A137" s="32" t="s">
        <v>4190</v>
      </c>
      <c r="B137" s="33" t="s">
        <v>4191</v>
      </c>
      <c r="C137" s="33"/>
      <c r="D137" s="33" t="s">
        <v>27</v>
      </c>
      <c r="E137" s="33" t="s">
        <v>4192</v>
      </c>
      <c r="F137" s="33" t="s">
        <v>4193</v>
      </c>
    </row>
    <row r="138" spans="1:6" ht="73.5" customHeight="1" x14ac:dyDescent="0.25">
      <c r="A138" s="32" t="s">
        <v>4070</v>
      </c>
      <c r="B138" s="33" t="s">
        <v>4071</v>
      </c>
      <c r="C138" s="33"/>
      <c r="D138" s="33" t="s">
        <v>2484</v>
      </c>
      <c r="E138" s="33" t="s">
        <v>4072</v>
      </c>
      <c r="F138" s="33" t="s">
        <v>26</v>
      </c>
    </row>
    <row r="139" spans="1:6" ht="58.5" customHeight="1" x14ac:dyDescent="0.25">
      <c r="A139" s="32" t="s">
        <v>4112</v>
      </c>
      <c r="B139" s="33" t="s">
        <v>4113</v>
      </c>
      <c r="C139" s="33"/>
      <c r="D139" s="33" t="s">
        <v>4114</v>
      </c>
      <c r="E139" s="33" t="s">
        <v>4115</v>
      </c>
      <c r="F139" s="33" t="s">
        <v>74</v>
      </c>
    </row>
    <row r="140" spans="1:6" ht="54.75" customHeight="1" x14ac:dyDescent="0.25">
      <c r="A140" s="32" t="s">
        <v>4254</v>
      </c>
      <c r="B140" s="33"/>
      <c r="C140" s="33"/>
      <c r="D140" s="33" t="s">
        <v>4255</v>
      </c>
      <c r="E140" s="33" t="s">
        <v>4256</v>
      </c>
      <c r="F140" s="33" t="s">
        <v>1789</v>
      </c>
    </row>
    <row r="141" spans="1:6" ht="54" customHeight="1" x14ac:dyDescent="0.25">
      <c r="A141" s="32" t="s">
        <v>4243</v>
      </c>
      <c r="B141" s="33"/>
      <c r="C141" s="33"/>
      <c r="D141" s="33" t="s">
        <v>4244</v>
      </c>
      <c r="E141" s="33" t="s">
        <v>4245</v>
      </c>
      <c r="F141" s="33" t="s">
        <v>26</v>
      </c>
    </row>
    <row r="142" spans="1:6" ht="55.5" customHeight="1" x14ac:dyDescent="0.25">
      <c r="A142" s="32" t="s">
        <v>4224</v>
      </c>
      <c r="B142" s="33" t="s">
        <v>4225</v>
      </c>
      <c r="C142" s="33"/>
      <c r="D142" s="33" t="s">
        <v>4226</v>
      </c>
      <c r="E142" s="33" t="s">
        <v>4227</v>
      </c>
      <c r="F142" s="33" t="s">
        <v>1789</v>
      </c>
    </row>
    <row r="143" spans="1:6" ht="40.5" customHeight="1" x14ac:dyDescent="0.25">
      <c r="A143" s="32" t="s">
        <v>4088</v>
      </c>
      <c r="B143" s="33" t="s">
        <v>4089</v>
      </c>
      <c r="C143" s="33"/>
      <c r="D143" s="33" t="s">
        <v>4090</v>
      </c>
      <c r="E143" s="33" t="s">
        <v>4091</v>
      </c>
      <c r="F143" s="33" t="s">
        <v>145</v>
      </c>
    </row>
    <row r="144" spans="1:6" ht="45.75" customHeight="1" x14ac:dyDescent="0.25">
      <c r="A144" s="32" t="s">
        <v>4322</v>
      </c>
      <c r="B144" s="33"/>
      <c r="C144" s="33"/>
      <c r="D144" s="33" t="s">
        <v>170</v>
      </c>
      <c r="E144" s="33" t="s">
        <v>4323</v>
      </c>
      <c r="F144" s="33"/>
    </row>
    <row r="145" spans="1:6" ht="31.5" customHeight="1" x14ac:dyDescent="0.25">
      <c r="A145" s="32" t="s">
        <v>4066</v>
      </c>
      <c r="B145" s="33" t="s">
        <v>4067</v>
      </c>
      <c r="C145" s="33"/>
      <c r="D145" s="33" t="s">
        <v>4068</v>
      </c>
      <c r="E145" s="33" t="s">
        <v>4069</v>
      </c>
      <c r="F145" s="33" t="s">
        <v>1789</v>
      </c>
    </row>
    <row r="146" spans="1:6" ht="48" customHeight="1" x14ac:dyDescent="0.25">
      <c r="A146" s="32" t="s">
        <v>4257</v>
      </c>
      <c r="B146" s="33"/>
      <c r="C146" s="33"/>
      <c r="D146" s="33" t="s">
        <v>4258</v>
      </c>
      <c r="E146" s="33" t="s">
        <v>4259</v>
      </c>
      <c r="F146" s="33" t="s">
        <v>1789</v>
      </c>
    </row>
    <row r="147" spans="1:6" ht="31.5" customHeight="1" x14ac:dyDescent="0.25">
      <c r="A147" s="32" t="s">
        <v>4153</v>
      </c>
      <c r="B147" s="33" t="s">
        <v>405</v>
      </c>
      <c r="C147" s="33"/>
      <c r="D147" s="33" t="s">
        <v>4154</v>
      </c>
      <c r="E147" s="33" t="s">
        <v>4155</v>
      </c>
      <c r="F147" s="33" t="s">
        <v>1789</v>
      </c>
    </row>
    <row r="148" spans="1:6" ht="45" customHeight="1" x14ac:dyDescent="0.25">
      <c r="A148" s="32" t="s">
        <v>4317</v>
      </c>
      <c r="B148" s="33"/>
      <c r="C148" s="33"/>
      <c r="D148" s="33" t="s">
        <v>4318</v>
      </c>
      <c r="E148" s="33" t="s">
        <v>4319</v>
      </c>
      <c r="F148" s="33" t="s">
        <v>57</v>
      </c>
    </row>
    <row r="149" spans="1:6" ht="42.75" customHeight="1" x14ac:dyDescent="0.25">
      <c r="A149" s="32" t="s">
        <v>4251</v>
      </c>
      <c r="B149" s="33"/>
      <c r="C149" s="33"/>
      <c r="D149" s="33" t="s">
        <v>4252</v>
      </c>
      <c r="E149" s="33" t="s">
        <v>4253</v>
      </c>
      <c r="F149" s="33" t="s">
        <v>1789</v>
      </c>
    </row>
    <row r="150" spans="1:6" ht="31.5" customHeight="1" x14ac:dyDescent="0.25">
      <c r="A150" s="32" t="s">
        <v>4228</v>
      </c>
      <c r="B150" s="33" t="s">
        <v>4229</v>
      </c>
      <c r="C150" s="33"/>
      <c r="D150" s="33" t="s">
        <v>4230</v>
      </c>
      <c r="E150" s="33" t="s">
        <v>4231</v>
      </c>
      <c r="F150" s="33" t="s">
        <v>26</v>
      </c>
    </row>
    <row r="151" spans="1:6" ht="43.5" customHeight="1" x14ac:dyDescent="0.25">
      <c r="A151" s="32" t="s">
        <v>4324</v>
      </c>
      <c r="B151" s="33"/>
      <c r="C151" s="33"/>
      <c r="D151" s="33" t="s">
        <v>170</v>
      </c>
      <c r="E151" s="33" t="s">
        <v>4325</v>
      </c>
      <c r="F151" s="33" t="s">
        <v>2177</v>
      </c>
    </row>
    <row r="152" spans="1:6" ht="75" customHeight="1" x14ac:dyDescent="0.25">
      <c r="A152" s="32" t="s">
        <v>3883</v>
      </c>
      <c r="B152" s="33" t="s">
        <v>3884</v>
      </c>
      <c r="C152" s="33"/>
      <c r="D152" s="33" t="s">
        <v>3885</v>
      </c>
      <c r="E152" s="33" t="s">
        <v>3886</v>
      </c>
      <c r="F152" s="33" t="s">
        <v>26</v>
      </c>
    </row>
    <row r="153" spans="1:6" ht="66" customHeight="1" x14ac:dyDescent="0.25">
      <c r="A153" s="32" t="s">
        <v>3883</v>
      </c>
      <c r="B153" s="33" t="s">
        <v>3884</v>
      </c>
      <c r="C153" s="33"/>
      <c r="D153" s="33" t="s">
        <v>3885</v>
      </c>
      <c r="E153" s="33" t="s">
        <v>3887</v>
      </c>
      <c r="F153" s="33" t="s">
        <v>26</v>
      </c>
    </row>
    <row r="154" spans="1:6" ht="43.5" customHeight="1" x14ac:dyDescent="0.25">
      <c r="A154" s="32" t="s">
        <v>4096</v>
      </c>
      <c r="B154" s="33" t="s">
        <v>4097</v>
      </c>
      <c r="C154" s="33"/>
      <c r="D154" s="33" t="s">
        <v>4098</v>
      </c>
      <c r="E154" s="33" t="s">
        <v>4099</v>
      </c>
      <c r="F154" s="33" t="s">
        <v>26</v>
      </c>
    </row>
    <row r="155" spans="1:6" ht="89.25" customHeight="1" x14ac:dyDescent="0.25">
      <c r="A155" s="32" t="s">
        <v>4217</v>
      </c>
      <c r="B155" s="33" t="s">
        <v>4218</v>
      </c>
      <c r="C155" s="33"/>
      <c r="D155" s="33" t="s">
        <v>4219</v>
      </c>
      <c r="E155" s="33" t="s">
        <v>4220</v>
      </c>
      <c r="F155" s="33" t="s">
        <v>26</v>
      </c>
    </row>
    <row r="156" spans="1:6" ht="43.5" customHeight="1" x14ac:dyDescent="0.25">
      <c r="A156" s="32" t="s">
        <v>4179</v>
      </c>
      <c r="B156" s="33" t="s">
        <v>4180</v>
      </c>
      <c r="C156" s="33"/>
      <c r="D156" s="33" t="s">
        <v>4181</v>
      </c>
      <c r="E156" s="33" t="s">
        <v>4182</v>
      </c>
      <c r="F156" s="33" t="s">
        <v>26</v>
      </c>
    </row>
    <row r="157" spans="1:6" ht="61.5" customHeight="1" x14ac:dyDescent="0.25">
      <c r="A157" s="32" t="s">
        <v>4232</v>
      </c>
      <c r="B157" s="33" t="s">
        <v>4233</v>
      </c>
      <c r="C157" s="33"/>
      <c r="D157" s="33" t="s">
        <v>1506</v>
      </c>
      <c r="E157" s="33" t="s">
        <v>4234</v>
      </c>
      <c r="F157" s="33" t="s">
        <v>26</v>
      </c>
    </row>
    <row r="158" spans="1:6" ht="31.5" customHeight="1" x14ac:dyDescent="0.25">
      <c r="A158" s="32" t="s">
        <v>4092</v>
      </c>
      <c r="B158" s="33" t="s">
        <v>4093</v>
      </c>
      <c r="C158" s="33" t="s">
        <v>151</v>
      </c>
      <c r="D158" s="33" t="s">
        <v>4094</v>
      </c>
      <c r="E158" s="33" t="s">
        <v>4095</v>
      </c>
      <c r="F158" s="33" t="s">
        <v>26</v>
      </c>
    </row>
    <row r="159" spans="1:6" ht="48.75" customHeight="1" x14ac:dyDescent="0.25">
      <c r="A159" s="32" t="s">
        <v>4202</v>
      </c>
      <c r="B159" s="33" t="s">
        <v>4203</v>
      </c>
      <c r="C159" s="33"/>
      <c r="D159" s="33" t="s">
        <v>4204</v>
      </c>
      <c r="E159" s="33" t="s">
        <v>4205</v>
      </c>
      <c r="F159" s="33" t="s">
        <v>57</v>
      </c>
    </row>
    <row r="160" spans="1:6" ht="60" customHeight="1" x14ac:dyDescent="0.25">
      <c r="A160" s="32" t="s">
        <v>4206</v>
      </c>
      <c r="B160" s="33" t="s">
        <v>4207</v>
      </c>
      <c r="C160" s="33"/>
      <c r="D160" s="33" t="s">
        <v>27</v>
      </c>
      <c r="E160" s="33" t="s">
        <v>4208</v>
      </c>
      <c r="F160" s="33" t="s">
        <v>74</v>
      </c>
    </row>
    <row r="161" spans="1:6" ht="54" customHeight="1" x14ac:dyDescent="0.25">
      <c r="A161" s="32" t="s">
        <v>4085</v>
      </c>
      <c r="B161" s="33" t="s">
        <v>4086</v>
      </c>
      <c r="C161" s="33"/>
      <c r="D161" s="33" t="s">
        <v>581</v>
      </c>
      <c r="E161" s="33" t="s">
        <v>4087</v>
      </c>
      <c r="F161" s="33" t="s">
        <v>26</v>
      </c>
    </row>
    <row r="162" spans="1:6" ht="52.5" customHeight="1" x14ac:dyDescent="0.25">
      <c r="A162" s="32" t="s">
        <v>4145</v>
      </c>
      <c r="B162" s="33" t="s">
        <v>4146</v>
      </c>
      <c r="C162" s="33"/>
      <c r="D162" s="33" t="s">
        <v>4147</v>
      </c>
      <c r="E162" s="33" t="s">
        <v>4148</v>
      </c>
      <c r="F162" s="33" t="s">
        <v>57</v>
      </c>
    </row>
    <row r="163" spans="1:6" ht="31.5" customHeight="1" x14ac:dyDescent="0.25">
      <c r="A163" s="32" t="s">
        <v>4160</v>
      </c>
      <c r="B163" s="33" t="s">
        <v>4161</v>
      </c>
      <c r="C163" s="33"/>
      <c r="D163" s="33" t="s">
        <v>4162</v>
      </c>
      <c r="E163" s="33" t="s">
        <v>4163</v>
      </c>
      <c r="F163" s="33" t="s">
        <v>26</v>
      </c>
    </row>
    <row r="164" spans="1:6" ht="41.25" customHeight="1" x14ac:dyDescent="0.25">
      <c r="A164" s="32" t="s">
        <v>4063</v>
      </c>
      <c r="B164" s="33" t="s">
        <v>2508</v>
      </c>
      <c r="C164" s="33"/>
      <c r="D164" s="33" t="s">
        <v>4064</v>
      </c>
      <c r="E164" s="33" t="s">
        <v>4065</v>
      </c>
      <c r="F164" s="33" t="s">
        <v>13</v>
      </c>
    </row>
    <row r="165" spans="1:6" ht="58.5" customHeight="1" x14ac:dyDescent="0.25">
      <c r="A165" s="32" t="s">
        <v>4339</v>
      </c>
      <c r="B165" s="33"/>
      <c r="C165" s="33"/>
      <c r="D165" s="33" t="s">
        <v>581</v>
      </c>
      <c r="E165" s="33" t="s">
        <v>4340</v>
      </c>
      <c r="F165" s="33" t="s">
        <v>26</v>
      </c>
    </row>
    <row r="166" spans="1:6" ht="50.25" customHeight="1" x14ac:dyDescent="0.25">
      <c r="A166" s="32" t="s">
        <v>4059</v>
      </c>
      <c r="B166" s="33" t="s">
        <v>4060</v>
      </c>
      <c r="C166" s="33"/>
      <c r="D166" s="33" t="s">
        <v>4061</v>
      </c>
      <c r="E166" s="33" t="s">
        <v>4062</v>
      </c>
      <c r="F166" s="33" t="s">
        <v>57</v>
      </c>
    </row>
    <row r="167" spans="1:6" ht="43.5" customHeight="1" x14ac:dyDescent="0.25">
      <c r="A167" s="32" t="s">
        <v>4133</v>
      </c>
      <c r="B167" s="33" t="s">
        <v>4134</v>
      </c>
      <c r="C167" s="33"/>
      <c r="D167" s="33" t="s">
        <v>4135</v>
      </c>
      <c r="E167" s="33" t="s">
        <v>4136</v>
      </c>
      <c r="F167" s="33" t="s">
        <v>26</v>
      </c>
    </row>
  </sheetData>
  <sortState ref="A2:F167">
    <sortCondition ref="A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6DA1-B95B-4D15-A471-FF1887E78C54}">
  <dimension ref="A1:F114"/>
  <sheetViews>
    <sheetView workbookViewId="0">
      <selection activeCell="B6" sqref="B6"/>
    </sheetView>
  </sheetViews>
  <sheetFormatPr defaultRowHeight="51.75" customHeight="1" x14ac:dyDescent="0.25"/>
  <cols>
    <col min="1" max="1" width="85" customWidth="1"/>
    <col min="2" max="2" width="40.7109375" customWidth="1"/>
    <col min="3" max="3" width="21.28515625" customWidth="1"/>
    <col min="4" max="4" width="22.5703125" customWidth="1"/>
    <col min="5" max="5" width="26.85546875" customWidth="1"/>
    <col min="6" max="6" width="30" customWidth="1"/>
  </cols>
  <sheetData>
    <row r="1" spans="1:6" ht="33.75" customHeight="1" x14ac:dyDescent="0.25">
      <c r="A1" s="12" t="s">
        <v>4</v>
      </c>
      <c r="B1" s="13" t="s">
        <v>5</v>
      </c>
      <c r="C1" s="14" t="s">
        <v>2</v>
      </c>
      <c r="D1" s="15" t="s">
        <v>3</v>
      </c>
      <c r="E1" s="16" t="s">
        <v>0</v>
      </c>
      <c r="F1" s="14" t="s">
        <v>1</v>
      </c>
    </row>
    <row r="2" spans="1:6" ht="51.75" customHeight="1" x14ac:dyDescent="0.25">
      <c r="A2" s="35" t="str">
        <f ca="1">IFERROR(__xludf.DUMMYFUNCTION("""COMPUTED_VALUE"""),"A history of law in Canada / Philip Girard, Jim Phillips, and R. Blake Brown.")</f>
        <v>A history of law in Canada / Philip Girard, Jim Phillips, and R. Blake Brown.</v>
      </c>
      <c r="B2" s="36" t="str">
        <f ca="1">IFERROR(__xludf.DUMMYFUNCTION("""COMPUTED_VALUE"""),"Girard, Philip.")</f>
        <v>Girard, Philip.</v>
      </c>
      <c r="C2" s="36" t="str">
        <f ca="1">IFERROR(__xludf.DUMMYFUNCTION("""COMPUTED_VALUE"""),"")</f>
        <v/>
      </c>
      <c r="D2" s="37" t="str">
        <f ca="1">IFERROR(__xludf.DUMMYFUNCTION("""COMPUTED_VALUE"""),"Toronto : Published for The Osgoode Society for Canadian Legal History by University of Toronto Press, 2018-")</f>
        <v>Toronto : Published for The Osgoode Society for Canadian Legal History by University of Toronto Press, 2018-</v>
      </c>
      <c r="E2" s="36" t="str">
        <f ca="1">IFERROR(__xludf.DUMMYFUNCTION("""COMPUTED_VALUE"""),"34(71)(091) GirP h 2018 1")</f>
        <v>34(71)(091) GirP h 2018 1</v>
      </c>
      <c r="F2" s="38" t="str">
        <f ca="1">IFERROR(__xludf.DUMMYFUNCTION("""COMPUTED_VALUE"""),"Αίθουσα Διεθνοιύς Δικαίου και Εμπορικού Δικαίου")</f>
        <v>Αίθουσα Διεθνοιύς Δικαίου και Εμπορικού Δικαίου</v>
      </c>
    </row>
    <row r="3" spans="1:6" ht="51.75" customHeight="1" x14ac:dyDescent="0.25">
      <c r="A3" s="35" t="str">
        <f ca="1">IFERROR(__xludf.DUMMYFUNCTION("""COMPUTED_VALUE"""),"A straightforward guide to health and safety law : the essential handbook for business large or small / Samantha Walker.")</f>
        <v>A straightforward guide to health and safety law : the essential handbook for business large or small / Samantha Walker.</v>
      </c>
      <c r="B3" s="36" t="str">
        <f ca="1">IFERROR(__xludf.DUMMYFUNCTION("""COMPUTED_VALUE"""),"Walker, Samantha.")</f>
        <v>Walker, Samantha.</v>
      </c>
      <c r="C3" s="36" t="str">
        <f ca="1">IFERROR(__xludf.DUMMYFUNCTION("""COMPUTED_VALUE"""),"")</f>
        <v/>
      </c>
      <c r="D3" s="37" t="str">
        <f ca="1">IFERROR(__xludf.DUMMYFUNCTION("""COMPUTED_VALUE"""),"[Derby] : Straightforward Publishing, 2015.")</f>
        <v>[Derby] : Straightforward Publishing, 2015.</v>
      </c>
      <c r="E3" s="36" t="str">
        <f ca="1">IFERROR(__xludf.DUMMYFUNCTION("""COMPUTED_VALUE"""),"34:614.8 WalS s 2015")</f>
        <v>34:614.8 WalS s 2015</v>
      </c>
      <c r="F3" s="38" t="str">
        <f ca="1">IFERROR(__xludf.DUMMYFUNCTION("""COMPUTED_VALUE"""),"Αίθουσα Δημοσίου Δικαίου")</f>
        <v>Αίθουσα Δημοσίου Δικαίου</v>
      </c>
    </row>
    <row r="4" spans="1:6" ht="51.75" customHeight="1" x14ac:dyDescent="0.25">
      <c r="A4" s="35" t="str">
        <f ca="1">IFERROR(__xludf.DUMMYFUNCTION("""COMPUTED_VALUE"""),"African customary law : an introduction / Peter Onyango.")</f>
        <v>African customary law : an introduction / Peter Onyango.</v>
      </c>
      <c r="B4" s="36" t="str">
        <f ca="1">IFERROR(__xludf.DUMMYFUNCTION("""COMPUTED_VALUE"""),"Onyango, Peter.")</f>
        <v>Onyango, Peter.</v>
      </c>
      <c r="C4" s="36" t="str">
        <f ca="1">IFERROR(__xludf.DUMMYFUNCTION("""COMPUTED_VALUE"""),"")</f>
        <v/>
      </c>
      <c r="D4" s="37" t="str">
        <f ca="1">IFERROR(__xludf.DUMMYFUNCTION("""COMPUTED_VALUE"""),"Nairobi : LawAfrica Publishing, [2013]")</f>
        <v>Nairobi : LawAfrica Publishing, [2013]</v>
      </c>
      <c r="E4" s="36" t="str">
        <f ca="1">IFERROR(__xludf.DUMMYFUNCTION("""COMPUTED_VALUE"""),"340.141(6) OnyP a 2013")</f>
        <v>340.141(6) OnyP a 2013</v>
      </c>
      <c r="F4" s="38" t="str">
        <f ca="1">IFERROR(__xludf.DUMMYFUNCTION("""COMPUTED_VALUE"""),"Αίθουσα Διεθνούς Δικαίου και Εμπορικού Δικαίου")</f>
        <v>Αίθουσα Διεθνούς Δικαίου και Εμπορικού Δικαίου</v>
      </c>
    </row>
    <row r="5" spans="1:6" ht="51.75" customHeight="1" x14ac:dyDescent="0.25">
      <c r="A5" s="35" t="s">
        <v>4382</v>
      </c>
      <c r="B5" s="36" t="s">
        <v>4383</v>
      </c>
      <c r="C5" s="36" t="str">
        <f ca="1">IFERROR(__xludf.DUMMYFUNCTION("""COMPUTED_VALUE"""),"")</f>
        <v/>
      </c>
      <c r="D5" s="37" t="str">
        <f ca="1">IFERROR(__xludf.DUMMYFUNCTION("""COMPUTED_VALUE"""),"[Munich?] : Sellier, European Law Publishers, 2007.")</f>
        <v>[Munich?] : Sellier, European Law Publishers, 2007.</v>
      </c>
      <c r="E5" s="36" t="str">
        <f ca="1">IFERROR(__xludf.DUMMYFUNCTION("""COMPUTED_VALUE"""),"349.238 SchD a 2007")</f>
        <v>349.238 SchD a 2007</v>
      </c>
      <c r="F5" s="38" t="str">
        <f ca="1">IFERROR(__xludf.DUMMYFUNCTION("""COMPUTED_VALUE"""),"Αίθουσα Ποινικού Δικαίου και Εργατικού Δικαίου")</f>
        <v>Αίθουσα Ποινικού Δικαίου και Εργατικού Δικαίου</v>
      </c>
    </row>
    <row r="6" spans="1:6" ht="51.75" customHeight="1" x14ac:dyDescent="0.25">
      <c r="A6" s="35" t="str">
        <f ca="1">IFERROR(__xludf.DUMMYFUNCTION("""COMPUTED_VALUE"""),"American States of Nature : the origins of independence, 1761-1775 / Mark Somos.")</f>
        <v>American States of Nature : the origins of independence, 1761-1775 / Mark Somos.</v>
      </c>
      <c r="B6" s="36" t="str">
        <f ca="1">IFERROR(__xludf.DUMMYFUNCTION("""COMPUTED_VALUE"""),"Somos, Mark.")</f>
        <v>Somos, Mark.</v>
      </c>
      <c r="C6" s="36" t="str">
        <f ca="1">IFERROR(__xludf.DUMMYFUNCTION("""COMPUTED_VALUE"""),"")</f>
        <v/>
      </c>
      <c r="D6" s="37" t="str">
        <f ca="1">IFERROR(__xludf.DUMMYFUNCTION("""COMPUTED_VALUE"""),"New York : Oxford University Press, 2019.")</f>
        <v>New York : Oxford University Press, 2019.</v>
      </c>
      <c r="E6" s="36" t="str">
        <f ca="1">IFERROR(__xludf.DUMMYFUNCTION("""COMPUTED_VALUE"""),"340.122(73) SomM a 2019")</f>
        <v>340.122(73) SomM a 2019</v>
      </c>
      <c r="F6" s="38" t="str">
        <f ca="1">IFERROR(__xludf.DUMMYFUNCTION("""COMPUTED_VALUE"""),"Αίθουσα Ιστορίας, Θεωρίας και Φιλοσοφίας του Δικαίου")</f>
        <v>Αίθουσα Ιστορίας, Θεωρίας και Φιλοσοφίας του Δικαίου</v>
      </c>
    </row>
    <row r="7" spans="1:6" ht="51.75" customHeight="1" x14ac:dyDescent="0.25">
      <c r="A7" s="35" t="s">
        <v>4384</v>
      </c>
      <c r="B7" s="36"/>
      <c r="C7" s="36" t="str">
        <f ca="1">IFERROR(__xludf.DUMMYFUNCTION("""COMPUTED_VALUE"""),"Stand vom Dez. 1979 (17. Aufl.).")</f>
        <v>Stand vom Dez. 1979 (17. Aufl.).</v>
      </c>
      <c r="D7" s="37" t="str">
        <f ca="1">IFERROR(__xludf.DUMMYFUNCTION("""COMPUTED_VALUE"""),"Berlin-Wilmersdorf : Bundesversicherungsanstalt für Angestellte, Dezernat für Presse- und Öffentlichkeitsarbeit, [1979]")</f>
        <v>Berlin-Wilmersdorf : Bundesversicherungsanstalt für Angestellte, Dezernat für Presse- und Öffentlichkeitsarbeit, [1979]</v>
      </c>
      <c r="E7" s="36" t="str">
        <f ca="1">IFERROR(__xludf.DUMMYFUNCTION("""COMPUTED_VALUE"""),"349.3‪(430)‬‪(094.5)‬ ΓΔ α 1979")</f>
        <v>349.3‪(430)‬‪(094.5)‬ ΓΔ α 1979</v>
      </c>
      <c r="F7" s="38" t="str">
        <f ca="1">IFERROR(__xludf.DUMMYFUNCTION("""COMPUTED_VALUE"""),"Αίθουσα Ποινικού Δικαίου και Εργατικού Δικαίου")</f>
        <v>Αίθουσα Ποινικού Δικαίου και Εργατικού Δικαίου</v>
      </c>
    </row>
    <row r="8" spans="1:6" ht="51.75" customHeight="1" x14ac:dyDescent="0.25">
      <c r="A8" s="35" t="str">
        <f ca="1">IFERROR(__xludf.DUMMYFUNCTION("""COMPUTED_VALUE"""),"Anlegerschutz durch Wirtschaftsrecht : Entwicklungslinien, Prinzipien u. Fortbildung d. Anlegerschutzes, zugl. e. Beitr. zur Uberlagerung burgerl.-rechtl. Regelung u. gewerbepolizeil. Uberwachung durch Wirtschaftsrecht / von Eberhard Schwark.")</f>
        <v>Anlegerschutz durch Wirtschaftsrecht : Entwicklungslinien, Prinzipien u. Fortbildung d. Anlegerschutzes, zugl. e. Beitr. zur Uberlagerung burgerl.-rechtl. Regelung u. gewerbepolizeil. Uberwachung durch Wirtschaftsrecht / von Eberhard Schwark.</v>
      </c>
      <c r="B8" s="36" t="str">
        <f ca="1">IFERROR(__xludf.DUMMYFUNCTION("""COMPUTED_VALUE"""),"Schwark, Eberhard.")</f>
        <v>Schwark, Eberhard.</v>
      </c>
      <c r="C8" s="36" t="str">
        <f ca="1">IFERROR(__xludf.DUMMYFUNCTION("""COMPUTED_VALUE"""),"")</f>
        <v/>
      </c>
      <c r="D8" s="37" t="str">
        <f ca="1">IFERROR(__xludf.DUMMYFUNCTION("""COMPUTED_VALUE"""),"Munchen : Beck, 1979.")</f>
        <v>Munchen : Beck, 1979.</v>
      </c>
      <c r="E8" s="36" t="str">
        <f ca="1">IFERROR(__xludf.DUMMYFUNCTION("""COMPUTED_VALUE"""),"347.73(430) SchW a 1979")</f>
        <v>347.73(430) SchW a 1979</v>
      </c>
      <c r="F8" s="38" t="str">
        <f ca="1">IFERROR(__xludf.DUMMYFUNCTION("""COMPUTED_VALUE"""),"Αίθουσα Διεθνούς Δικαίου και Εμπορικού Δικαίου")</f>
        <v>Αίθουσα Διεθνούς Δικαίου και Εμπορικού Δικαίου</v>
      </c>
    </row>
    <row r="9" spans="1:6" ht="51.75" customHeight="1" x14ac:dyDescent="0.25">
      <c r="A9" s="35" t="s">
        <v>4385</v>
      </c>
      <c r="B9" s="36" t="s">
        <v>4386</v>
      </c>
      <c r="C9" s="36" t="str">
        <f ca="1">IFERROR(__xludf.DUMMYFUNCTION("""COMPUTED_VALUE"""),"")</f>
        <v/>
      </c>
      <c r="D9" s="37" t="str">
        <f ca="1">IFERROR(__xludf.DUMMYFUNCTION("""COMPUTED_VALUE"""),"Cambridge, United Kingdom   New York, NY : Cambridge University Press, 2018.")</f>
        <v>Cambridge, United Kingdom   New York, NY : Cambridge University Press, 2018.</v>
      </c>
      <c r="E9" s="36" t="str">
        <f ca="1">IFERROR(__xludf.DUMMYFUNCTION("""COMPUTED_VALUE"""),"34:608.1 CohI b 2018")</f>
        <v>34:608.1 CohI b 2018</v>
      </c>
      <c r="F9" s="38" t="str">
        <f ca="1">IFERROR(__xludf.DUMMYFUNCTION("""COMPUTED_VALUE"""),"Αίθουσα Δημοσίου Δικαίου")</f>
        <v>Αίθουσα Δημοσίου Δικαίου</v>
      </c>
    </row>
    <row r="10" spans="1:6" ht="51.75" customHeight="1" x14ac:dyDescent="0.25">
      <c r="A10" s="35" t="str">
        <f ca="1">IFERROR(__xludf.DUMMYFUNCTION("""COMPUTED_VALUE"""),"Bundesrechtsanwaltsordnung, Bundesrechtsanwaltsgebührenordnung und zugehörige Gesetze : Textausgabe mit Verweisungen und Sachverzeichnis.")</f>
        <v>Bundesrechtsanwaltsordnung, Bundesrechtsanwaltsgebührenordnung und zugehörige Gesetze : Textausgabe mit Verweisungen und Sachverzeichnis.</v>
      </c>
      <c r="B10" s="36" t="str">
        <f ca="1">IFERROR(__xludf.DUMMYFUNCTION("""COMPUTED_VALUE"""),"")</f>
        <v/>
      </c>
      <c r="C10" s="36" t="str">
        <f ca="1">IFERROR(__xludf.DUMMYFUNCTION("""COMPUTED_VALUE"""),"2. Aufl., Stand, 1.Oktober 1995.")</f>
        <v>2. Aufl., Stand, 1.Oktober 1995.</v>
      </c>
      <c r="D10" s="37" t="str">
        <f ca="1">IFERROR(__xludf.DUMMYFUNCTION("""COMPUTED_VALUE"""),"München : Beck, 1996.")</f>
        <v>München : Beck, 1996.</v>
      </c>
      <c r="E10" s="36" t="str">
        <f ca="1">IFERROR(__xludf.DUMMYFUNCTION("""COMPUTED_VALUE"""),"347.965(430) BB 1996")</f>
        <v>347.965(430) BB 1996</v>
      </c>
      <c r="F10" s="38" t="str">
        <f ca="1">IFERROR(__xludf.DUMMYFUNCTION("""COMPUTED_VALUE"""),"Αίθουσα Αστικού και Αστικού Δικονομικού Δικαίου")</f>
        <v>Αίθουσα Αστικού και Αστικού Δικονομικού Δικαίου</v>
      </c>
    </row>
    <row r="11" spans="1:6" ht="51.75" customHeight="1" x14ac:dyDescent="0.25">
      <c r="A11" s="35" t="s">
        <v>4387</v>
      </c>
      <c r="B11" s="36" t="s">
        <v>4388</v>
      </c>
      <c r="C11" s="36" t="str">
        <f ca="1">IFERROR(__xludf.DUMMYFUNCTION("""COMPUTED_VALUE"""),"")</f>
        <v/>
      </c>
      <c r="D11" s="37" t="str">
        <f ca="1">IFERROR(__xludf.DUMMYFUNCTION("""COMPUTED_VALUE"""),"Paris : ALAI, 1978.")</f>
        <v>Paris : ALAI, 1978.</v>
      </c>
      <c r="E11" s="36" t="s">
        <v>4389</v>
      </c>
      <c r="F11" s="38" t="s">
        <v>26</v>
      </c>
    </row>
    <row r="12" spans="1:6" ht="51.75" customHeight="1" x14ac:dyDescent="0.25">
      <c r="A12" s="35" t="s">
        <v>4390</v>
      </c>
      <c r="B12" s="36" t="s">
        <v>4391</v>
      </c>
      <c r="C12" s="36" t="str">
        <f ca="1">IFERROR(__xludf.DUMMYFUNCTION("""COMPUTED_VALUE"""),"")</f>
        <v/>
      </c>
      <c r="D12" s="37" t="str">
        <f ca="1">IFERROR(__xludf.DUMMYFUNCTION("""COMPUTED_VALUE"""),"Lausanne : Centre du droit de l'entreprise (droit industriel, droit d'auteur, droit commercial) de l'Université de Lausanne, 2002.")</f>
        <v>Lausanne : Centre du droit de l'entreprise (droit industriel, droit d'auteur, droit commercial) de l'Université de Lausanne, 2002.</v>
      </c>
      <c r="E12" s="36" t="str">
        <f ca="1">IFERROR(__xludf.DUMMYFUNCTION("""COMPUTED_VALUE"""),"347.78(063) CII2001 2002")</f>
        <v>347.78(063) CII2001 2002</v>
      </c>
      <c r="F12" s="38" t="str">
        <f ca="1">IFERROR(__xludf.DUMMYFUNCTION("""COMPUTED_VALUE"""),"Αίθουσα Αστικού και Αστικού Δικονομικού Δικαίου")</f>
        <v>Αίθουσα Αστικού και Αστικού Δικονομικού Δικαίου</v>
      </c>
    </row>
    <row r="13" spans="1:6" ht="51.75" customHeight="1" x14ac:dyDescent="0.25">
      <c r="A13" s="35" t="str">
        <f ca="1">IFERROR(__xludf.DUMMYFUNCTION("""COMPUTED_VALUE"""),"Criminology in focus : past trends and future prospects / A. Keith Bottomley.")</f>
        <v>Criminology in focus : past trends and future prospects / A. Keith Bottomley.</v>
      </c>
      <c r="B13" s="36" t="str">
        <f ca="1">IFERROR(__xludf.DUMMYFUNCTION("""COMPUTED_VALUE"""),"Bottomley, A. Keith.")</f>
        <v>Bottomley, A. Keith.</v>
      </c>
      <c r="C13" s="36" t="str">
        <f ca="1">IFERROR(__xludf.DUMMYFUNCTION("""COMPUTED_VALUE"""),"")</f>
        <v/>
      </c>
      <c r="D13" s="37" t="str">
        <f ca="1">IFERROR(__xludf.DUMMYFUNCTION("""COMPUTED_VALUE"""),"Oxford, UK : M. Robertson, 1979.")</f>
        <v>Oxford, UK : M. Robertson, 1979.</v>
      </c>
      <c r="E13" s="36" t="str">
        <f ca="1">IFERROR(__xludf.DUMMYFUNCTION("""COMPUTED_VALUE"""),"343.9 BotK c 1979")</f>
        <v>343.9 BotK c 1979</v>
      </c>
      <c r="F13" s="38" t="str">
        <f ca="1">IFERROR(__xludf.DUMMYFUNCTION("""COMPUTED_VALUE"""),"Αίθουσα Ποινικού Δικαίου και Εργατικού Δικαίου")</f>
        <v>Αίθουσα Ποινικού Δικαίου και Εργατικού Δικαίου</v>
      </c>
    </row>
    <row r="14" spans="1:6" ht="51.75" customHeight="1" x14ac:dyDescent="0.25">
      <c r="A14" s="35" t="str">
        <f ca="1">IFERROR(__xludf.DUMMYFUNCTION("""COMPUTED_VALUE"""),"Current Issues in Intellectual Property : proceedings of the annual conference of the International Association for the Advancement of Teaching and Researsch in the Intallectual Property, ATRIP, Ljubljana, July 11-13, 1994 / Joseph Straus (ed.)")</f>
        <v>Current Issues in Intellectual Property : proceedings of the annual conference of the International Association for the Advancement of Teaching and Researsch in the Intallectual Property, ATRIP, Ljubljana, July 11-13, 1994 / Joseph Straus (ed.)</v>
      </c>
      <c r="B14" s="36" t="str">
        <f ca="1">IFERROR(__xludf.DUMMYFUNCTION("""COMPUTED_VALUE"""),"International Association for the Advancement of Teaching and Researsch in the Intallectual Property. Annual Conference (1994 : Ljubljana)")</f>
        <v>International Association for the Advancement of Teaching and Researsch in the Intallectual Property. Annual Conference (1994 : Ljubljana)</v>
      </c>
      <c r="C14" s="36" t="str">
        <f ca="1">IFERROR(__xludf.DUMMYFUNCTION("""COMPUTED_VALUE"""),"")</f>
        <v/>
      </c>
      <c r="D14" s="37" t="str">
        <f ca="1">IFERROR(__xludf.DUMMYFUNCTION("""COMPUTED_VALUE"""),"[Ljubljana] : Slovenian Intellectual Property Office, 1995.")</f>
        <v>[Ljubljana] : Slovenian Intellectual Property Office, 1995.</v>
      </c>
      <c r="E14" s="36" t="str">
        <f ca="1">IFERROR(__xludf.DUMMYFUNCTION("""COMPUTED_VALUE"""),"347.78(063) IAATRIP1994 c 1995")</f>
        <v>347.78(063) IAATRIP1994 c 1995</v>
      </c>
      <c r="F14" s="38" t="str">
        <f ca="1">IFERROR(__xludf.DUMMYFUNCTION("""COMPUTED_VALUE"""),"Αίθουσα Αστικού και Αστικού Δικονομικού Δικαίου")</f>
        <v>Αίθουσα Αστικού και Αστικού Δικονομικού Δικαίου</v>
      </c>
    </row>
    <row r="15" spans="1:6" ht="51.75" customHeight="1" x14ac:dyDescent="0.25">
      <c r="A15" s="35" t="str">
        <f ca="1">IFERROR(__xludf.DUMMYFUNCTION("""COMPUTED_VALUE"""),"Daniel Jousse : un juriste au temps des Lumières (1704-1781) / textes réunis par Corinne Leveleux-Teixeira.")</f>
        <v>Daniel Jousse : un juriste au temps des Lumières (1704-1781) / textes réunis par Corinne Leveleux-Teixeira.</v>
      </c>
      <c r="B15" s="36" t="str">
        <f ca="1">IFERROR(__xludf.DUMMYFUNCTION("""COMPUTED_VALUE"""),"")</f>
        <v/>
      </c>
      <c r="C15" s="36" t="str">
        <f ca="1">IFERROR(__xludf.DUMMYFUNCTION("""COMPUTED_VALUE"""),"")</f>
        <v/>
      </c>
      <c r="D15" s="37" t="str">
        <f ca="1">IFERROR(__xludf.DUMMYFUNCTION("""COMPUTED_VALUE"""),"Limoges : Presses Universitaires de Limoges, 2007.")</f>
        <v>Limoges : Presses Universitaires de Limoges, 2007.</v>
      </c>
      <c r="E15" s="36" t="str">
        <f ca="1">IFERROR(__xludf.DUMMYFUNCTION("""COMPUTED_VALUE"""),"343(092) JouD d 2007")</f>
        <v>343(092) JouD d 2007</v>
      </c>
      <c r="F15" s="38" t="str">
        <f ca="1">IFERROR(__xludf.DUMMYFUNCTION("""COMPUTED_VALUE"""),"Αίθουσα Ποινικού Δικαίου και Εργατικού Δικαίου")</f>
        <v>Αίθουσα Ποινικού Δικαίου και Εργατικού Δικαίου</v>
      </c>
    </row>
    <row r="16" spans="1:6" ht="51.75" customHeight="1" x14ac:dyDescent="0.25">
      <c r="A16" s="35" t="str">
        <f ca="1">IFERROR(__xludf.DUMMYFUNCTION("""COMPUTED_VALUE"""),"Das Gegengewichtsprinzip in der Wirtschaftsordnung / von C. A. Andreae [et al.].")</f>
        <v>Das Gegengewichtsprinzip in der Wirtschaftsordnung / von C. A. Andreae [et al.].</v>
      </c>
      <c r="B16" s="36" t="str">
        <f ca="1">IFERROR(__xludf.DUMMYFUNCTION("""COMPUTED_VALUE"""),"Andreae, Clemens August.")</f>
        <v>Andreae, Clemens August.</v>
      </c>
      <c r="C16" s="36" t="str">
        <f ca="1">IFERROR(__xludf.DUMMYFUNCTION("""COMPUTED_VALUE"""),"")</f>
        <v/>
      </c>
      <c r="D16" s="37" t="str">
        <f ca="1">IFERROR(__xludf.DUMMYFUNCTION("""COMPUTED_VALUE"""),"Köln   Berlin   Bonn   München   Heymann, 1966.")</f>
        <v>Köln   Berlin   Bonn   München   Heymann, 1966.</v>
      </c>
      <c r="E16" s="36" t="str">
        <f ca="1">IFERROR(__xludf.DUMMYFUNCTION("""COMPUTED_VALUE"""),"330.36 AndC g 1966 1")</f>
        <v>330.36 AndC g 1966 1</v>
      </c>
      <c r="F16" s="38" t="str">
        <f ca="1">IFERROR(__xludf.DUMMYFUNCTION("""COMPUTED_VALUE"""),"Αίθουσα Διεθνούς Δικαίου και Εμπορικού Δικαίου")</f>
        <v>Αίθουσα Διεθνούς Δικαίου και Εμπορικού Δικαίου</v>
      </c>
    </row>
    <row r="17" spans="1:6" ht="51.75" customHeight="1" x14ac:dyDescent="0.25">
      <c r="A17" s="35" t="str">
        <f ca="1">IFERROR(__xludf.DUMMYFUNCTION("""COMPUTED_VALUE"""),"Das Pfandrecht an Immaterialgütern / von Peter Schenk.")</f>
        <v>Das Pfandrecht an Immaterialgütern / von Peter Schenk.</v>
      </c>
      <c r="B17" s="36" t="str">
        <f ca="1">IFERROR(__xludf.DUMMYFUNCTION("""COMPUTED_VALUE"""),"Schenk, Peter.")</f>
        <v>Schenk, Peter.</v>
      </c>
      <c r="C17" s="36" t="str">
        <f ca="1">IFERROR(__xludf.DUMMYFUNCTION("""COMPUTED_VALUE"""),"")</f>
        <v/>
      </c>
      <c r="D17" s="37" t="str">
        <f ca="1">IFERROR(__xludf.DUMMYFUNCTION("""COMPUTED_VALUE"""),"Zürich : Fluntern, 1951")</f>
        <v>Zürich : Fluntern, 1951</v>
      </c>
      <c r="E17" s="36" t="str">
        <f ca="1">IFERROR(__xludf.DUMMYFUNCTION("""COMPUTED_VALUE"""),"347.78 SchP p 1951")</f>
        <v>347.78 SchP p 1951</v>
      </c>
      <c r="F17" s="38" t="str">
        <f ca="1">IFERROR(__xludf.DUMMYFUNCTION("""COMPUTED_VALUE"""),"Αίθουσα Αστικού και Αστικού Δικονομικού Δικαίου")</f>
        <v>Αίθουσα Αστικού και Αστικού Δικονομικού Δικαίου</v>
      </c>
    </row>
    <row r="18" spans="1:6" ht="51.75" customHeight="1" x14ac:dyDescent="0.25">
      <c r="A18" s="35" t="s">
        <v>4392</v>
      </c>
      <c r="B18" s="36" t="s">
        <v>4393</v>
      </c>
      <c r="C18" s="36" t="str">
        <f ca="1">IFERROR(__xludf.DUMMYFUNCTION("""COMPUTED_VALUE"""),"")</f>
        <v/>
      </c>
      <c r="D18" s="37" t="str">
        <f ca="1">IFERROR(__xludf.DUMMYFUNCTION("""COMPUTED_VALUE"""),"Munchen : Beck ; Koln : Carl Heymanns, 1965-.")</f>
        <v>Munchen : Beck ; Koln : Carl Heymanns, 1965-.</v>
      </c>
      <c r="E18" s="36" t="str">
        <f ca="1">IFERROR(__xludf.DUMMYFUNCTION("""COMPUTED_VALUE"""),"347.776(4-672EC) UlmE r 1967 4")</f>
        <v>347.776(4-672EC) UlmE r 1967 4</v>
      </c>
      <c r="F18" s="38" t="str">
        <f ca="1">IFERROR(__xludf.DUMMYFUNCTION("""COMPUTED_VALUE"""),"Αίθουσα Διεθνούς Δικαίου και Εμπορικού Δικαίου")</f>
        <v>Αίθουσα Διεθνούς Δικαίου και Εμπορικού Δικαίου</v>
      </c>
    </row>
    <row r="19" spans="1:6" ht="51.75" customHeight="1" x14ac:dyDescent="0.25">
      <c r="A19" s="35" t="s">
        <v>4394</v>
      </c>
      <c r="B19" s="36" t="s">
        <v>4395</v>
      </c>
      <c r="C19" s="36" t="str">
        <f ca="1">IFERROR(__xludf.DUMMYFUNCTION("""COMPUTED_VALUE"""),"")</f>
        <v/>
      </c>
      <c r="D19" s="37" t="str">
        <f ca="1">IFERROR(__xludf.DUMMYFUNCTION("""COMPUTED_VALUE"""),"München : C.H. Beck, 2013.")</f>
        <v>München : C.H. Beck, 2013.</v>
      </c>
      <c r="E19" s="36" t="str">
        <f ca="1">IFERROR(__xludf.DUMMYFUNCTION("""COMPUTED_VALUE"""),"342.721 WolH d 2013")</f>
        <v>342.721 WolH d 2013</v>
      </c>
      <c r="F19" s="38" t="str">
        <f ca="1">IFERROR(__xludf.DUMMYFUNCTION("""COMPUTED_VALUE"""),"Αίθουσα Δημοσίου Δικαίου")</f>
        <v>Αίθουσα Δημοσίου Δικαίου</v>
      </c>
    </row>
    <row r="20" spans="1:6" ht="51.75" customHeight="1" x14ac:dyDescent="0.25">
      <c r="A20" s="35" t="s">
        <v>4396</v>
      </c>
      <c r="B20" s="36" t="str">
        <f ca="1">IFERROR(__xludf.DUMMYFUNCTION("""COMPUTED_VALUE"""),"Goudelin, Pierre, 1550-1619.")</f>
        <v>Goudelin, Pierre, 1550-1619.</v>
      </c>
      <c r="C20" s="36" t="str">
        <f ca="1">IFERROR(__xludf.DUMMYFUNCTION("""COMPUTED_VALUE"""),"")</f>
        <v/>
      </c>
      <c r="D20" s="37" t="str">
        <f ca="1">IFERROR(__xludf.DUMMYFUNCTION("""COMPUTED_VALUE"""),"Limoges : PULIM, [2011]")</f>
        <v>Limoges : PULIM, [2011]</v>
      </c>
      <c r="E20" s="36" t="str">
        <f ca="1">IFERROR(__xludf.DUMMYFUNCTION("""COMPUTED_VALUE"""),"341.3 GouP j/c 2011")</f>
        <v>341.3 GouP j/c 2011</v>
      </c>
      <c r="F20" s="38" t="str">
        <f ca="1">IFERROR(__xludf.DUMMYFUNCTION("""COMPUTED_VALUE"""),"Αίθουσα Ιστορίας, Θεωρίας και Φιλοσοφίας του Δικαίου")</f>
        <v>Αίθουσα Ιστορίας, Θεωρίας και Φιλοσοφίας του Δικαίου</v>
      </c>
    </row>
    <row r="21" spans="1:6" ht="51.75" customHeight="1" x14ac:dyDescent="0.25">
      <c r="A21" s="35" t="str">
        <f ca="1">IFERROR(__xludf.DUMMYFUNCTION("""COMPUTED_VALUE"""),"Dealing with copyrights / by Richard Wincor.")</f>
        <v>Dealing with copyrights / by Richard Wincor.</v>
      </c>
      <c r="B21" s="36" t="str">
        <f ca="1">IFERROR(__xludf.DUMMYFUNCTION("""COMPUTED_VALUE"""),"Wincor, Richard.")</f>
        <v>Wincor, Richard.</v>
      </c>
      <c r="C21" s="36" t="str">
        <f ca="1">IFERROR(__xludf.DUMMYFUNCTION("""COMPUTED_VALUE"""),"")</f>
        <v/>
      </c>
      <c r="D21" s="37" t="str">
        <f ca="1">IFERROR(__xludf.DUMMYFUNCTION("""COMPUTED_VALUE"""),"Dobbs Ferry, N.Y. : Oceana Publications, 2000.")</f>
        <v>Dobbs Ferry, N.Y. : Oceana Publications, 2000.</v>
      </c>
      <c r="E21" s="36" t="str">
        <f ca="1">IFERROR(__xludf.DUMMYFUNCTION("""COMPUTED_VALUE"""),"347.78 WinR d 2000")</f>
        <v>347.78 WinR d 2000</v>
      </c>
      <c r="F21" s="38" t="str">
        <f ca="1">IFERROR(__xludf.DUMMYFUNCTION("""COMPUTED_VALUE"""),"Αίθουσα Αστικού και Αστικού Δικονομικού Δικαίου")</f>
        <v>Αίθουσα Αστικού και Αστικού Δικονομικού Δικαίου</v>
      </c>
    </row>
    <row r="22" spans="1:6" ht="51.75" customHeight="1" x14ac:dyDescent="0.25">
      <c r="A22" s="35" t="str">
        <f ca="1">IFERROR(__xludf.DUMMYFUNCTION("""COMPUTED_VALUE"""),"Der Verwaltungsakt als Grundlage der Verwaltungsvollstreckung : ein Beitrag zur Gestaltung eines rechtsstaatlichen Verwaltungsverfahrens / von Gottfried Arndt.")</f>
        <v>Der Verwaltungsakt als Grundlage der Verwaltungsvollstreckung : ein Beitrag zur Gestaltung eines rechtsstaatlichen Verwaltungsverfahrens / von Gottfried Arndt.</v>
      </c>
      <c r="B22" s="36" t="str">
        <f ca="1">IFERROR(__xludf.DUMMYFUNCTION("""COMPUTED_VALUE"""),"Arndt, Gottfried.")</f>
        <v>Arndt, Gottfried.</v>
      </c>
      <c r="C22" s="36" t="str">
        <f ca="1">IFERROR(__xludf.DUMMYFUNCTION("""COMPUTED_VALUE"""),"")</f>
        <v/>
      </c>
      <c r="D22" s="37" t="str">
        <f ca="1">IFERROR(__xludf.DUMMYFUNCTION("""COMPUTED_VALUE"""),"Köln : Heymann, 1967.")</f>
        <v>Köln : Heymann, 1967.</v>
      </c>
      <c r="E22" s="36" t="str">
        <f ca="1">IFERROR(__xludf.DUMMYFUNCTION("""COMPUTED_VALUE"""),"342.9(430) GotA v 1967")</f>
        <v>342.9(430) GotA v 1967</v>
      </c>
      <c r="F22" s="38" t="str">
        <f ca="1">IFERROR(__xludf.DUMMYFUNCTION("""COMPUTED_VALUE"""),"Αίθουσα Δημοσίου Δικαίου")</f>
        <v>Αίθουσα Δημοσίου Δικαίου</v>
      </c>
    </row>
    <row r="23" spans="1:6" ht="51.75" customHeight="1" x14ac:dyDescent="0.25">
      <c r="A23" s="35" t="str">
        <f ca="1">IFERROR(__xludf.DUMMYFUNCTION("""COMPUTED_VALUE"""),"Die  Entwicklung des technischen und wirtschaftlichen Fortschritts  : der Konflikt Wettbewerbspolitik--Industriepolitik in der europäischen Fusionskontrolle / Christian Rudolf Schmidt.")</f>
        <v>Die  Entwicklung des technischen und wirtschaftlichen Fortschritts  : der Konflikt Wettbewerbspolitik--Industriepolitik in der europäischen Fusionskontrolle / Christian Rudolf Schmidt.</v>
      </c>
      <c r="B23" s="36" t="str">
        <f ca="1">IFERROR(__xludf.DUMMYFUNCTION("""COMPUTED_VALUE"""),"Schmidt, Christian Rudolf, 1965-")</f>
        <v>Schmidt, Christian Rudolf, 1965-</v>
      </c>
      <c r="C23" s="36" t="str">
        <f ca="1">IFERROR(__xludf.DUMMYFUNCTION("""COMPUTED_VALUE"""),"")</f>
        <v/>
      </c>
      <c r="D23" s="37" t="str">
        <f ca="1">IFERROR(__xludf.DUMMYFUNCTION("""COMPUTED_VALUE"""),"Baden-Baden : Nomos, 1992.")</f>
        <v>Baden-Baden : Nomos, 1992.</v>
      </c>
      <c r="E23" s="36" t="str">
        <f ca="1">IFERROR(__xludf.DUMMYFUNCTION("""COMPUTED_VALUE"""),"347.776(430) SchC e 1992")</f>
        <v>347.776(430) SchC e 1992</v>
      </c>
      <c r="F23" s="38" t="str">
        <f ca="1">IFERROR(__xludf.DUMMYFUNCTION("""COMPUTED_VALUE"""),"Αίθουσα Διεθνούς Δικαίου και Εμπορικού Δικαίου")</f>
        <v>Αίθουσα Διεθνούς Δικαίου και Εμπορικού Δικαίου</v>
      </c>
    </row>
    <row r="24" spans="1:6" ht="51.75" customHeight="1" x14ac:dyDescent="0.25">
      <c r="A24" s="35" t="str">
        <f ca="1">IFERROR(__xludf.DUMMYFUNCTION("""COMPUTED_VALUE"""),"Die Bekämpfung unlauterer Geschäftspraktiken durch Verbraucherverbände : Verbraucherreklamationen, Verbandsklage, Haftung d. Verbände / von Roland von Falckenstein.")</f>
        <v>Die Bekämpfung unlauterer Geschäftspraktiken durch Verbraucherverbände : Verbraucherreklamationen, Verbandsklage, Haftung d. Verbände / von Roland von Falckenstein.</v>
      </c>
      <c r="B24" s="36" t="str">
        <f ca="1">IFERROR(__xludf.DUMMYFUNCTION("""COMPUTED_VALUE"""),"Falckenstein, Roland von.")</f>
        <v>Falckenstein, Roland von.</v>
      </c>
      <c r="C24" s="36" t="str">
        <f ca="1">IFERROR(__xludf.DUMMYFUNCTION("""COMPUTED_VALUE"""),"")</f>
        <v/>
      </c>
      <c r="D24" s="37" t="str">
        <f ca="1">IFERROR(__xludf.DUMMYFUNCTION("""COMPUTED_VALUE"""),"Köln : Bundesanzeiger-Verlagsgesellschaft, 1977.")</f>
        <v>Köln : Bundesanzeiger-Verlagsgesellschaft, 1977.</v>
      </c>
      <c r="E24" s="36" t="str">
        <f ca="1">IFERROR(__xludf.DUMMYFUNCTION("""COMPUTED_VALUE"""),"347:366.5 FalR b 1977")</f>
        <v>347:366.5 FalR b 1977</v>
      </c>
      <c r="F24" s="38" t="str">
        <f ca="1">IFERROR(__xludf.DUMMYFUNCTION("""COMPUTED_VALUE"""),"Αίθουσα Αστικού και Αστικού Δικονομικού Δικαίου")</f>
        <v>Αίθουσα Αστικού και Αστικού Δικονομικού Δικαίου</v>
      </c>
    </row>
    <row r="25" spans="1:6" ht="51.75" customHeight="1" x14ac:dyDescent="0.25">
      <c r="A25" s="35" t="str">
        <f ca="1">IFERROR(__xludf.DUMMYFUNCTION("""COMPUTED_VALUE"""),"Die endgültige freie Verfügung über die Einlage von Kapitalgesellschaftern : ein Beitrag zum Recht der Kapitalaufbringung bei GmbH und Aktiengesellschaft / von Hans-Christoph Ihrig.")</f>
        <v>Die endgültige freie Verfügung über die Einlage von Kapitalgesellschaftern : ein Beitrag zum Recht der Kapitalaufbringung bei GmbH und Aktiengesellschaft / von Hans-Christoph Ihrig.</v>
      </c>
      <c r="B25" s="36" t="str">
        <f ca="1">IFERROR(__xludf.DUMMYFUNCTION("""COMPUTED_VALUE"""),"Ihrig, Hans-Christoph.")</f>
        <v>Ihrig, Hans-Christoph.</v>
      </c>
      <c r="C25" s="36" t="str">
        <f ca="1">IFERROR(__xludf.DUMMYFUNCTION("""COMPUTED_VALUE"""),"")</f>
        <v/>
      </c>
      <c r="D25" s="37" t="str">
        <f ca="1">IFERROR(__xludf.DUMMYFUNCTION("""COMPUTED_VALUE"""),"Heidelberg : Verlag Recht und Wirtschaft, 1991.")</f>
        <v>Heidelberg : Verlag Recht und Wirtschaft, 1991.</v>
      </c>
      <c r="E25" s="36" t="str">
        <f ca="1">IFERROR(__xludf.DUMMYFUNCTION("""COMPUTED_VALUE"""),"347.72.033(430) IhrH e 1991")</f>
        <v>347.72.033(430) IhrH e 1991</v>
      </c>
      <c r="F25" s="38" t="str">
        <f ca="1">IFERROR(__xludf.DUMMYFUNCTION("""COMPUTED_VALUE"""),"Αίθουσα Διεθνούς Δικαίου και Εμπορικού Δικαίου")</f>
        <v>Αίθουσα Διεθνούς Δικαίου και Εμπορικού Δικαίου</v>
      </c>
    </row>
    <row r="26" spans="1:6" ht="51.75" customHeight="1" x14ac:dyDescent="0.25">
      <c r="A26" s="35" t="str">
        <f ca="1">IFERROR(__xludf.DUMMYFUNCTION("""COMPUTED_VALUE"""),"Die Zwangsvollstreckung in Immaterialgüter / vorgelegt von Urs Müller.")</f>
        <v>Die Zwangsvollstreckung in Immaterialgüter / vorgelegt von Urs Müller.</v>
      </c>
      <c r="B26" s="36" t="str">
        <f ca="1">IFERROR(__xludf.DUMMYFUNCTION("""COMPUTED_VALUE"""),"Müller, Urs, 1949-")</f>
        <v>Müller, Urs, 1949-</v>
      </c>
      <c r="C26" s="36" t="str">
        <f ca="1">IFERROR(__xludf.DUMMYFUNCTION("""COMPUTED_VALUE"""),"")</f>
        <v/>
      </c>
      <c r="D26" s="37" t="str">
        <f ca="1">IFERROR(__xludf.DUMMYFUNCTION("""COMPUTED_VALUE"""),"Zürich : Juris-Verlag, 1978.")</f>
        <v>Zürich : Juris-Verlag, 1978.</v>
      </c>
      <c r="E26" s="36" t="str">
        <f ca="1">IFERROR(__xludf.DUMMYFUNCTION("""COMPUTED_VALUE"""),"347.952 MulU z 1978")</f>
        <v>347.952 MulU z 1978</v>
      </c>
      <c r="F26" s="38" t="str">
        <f ca="1">IFERROR(__xludf.DUMMYFUNCTION("""COMPUTED_VALUE"""),"Αίθουσα Αστικού και Αστικού Δικονομικού Δικαίου")</f>
        <v>Αίθουσα Αστικού και Αστικού Δικονομικού Δικαίου</v>
      </c>
    </row>
    <row r="27" spans="1:6" ht="51.75" customHeight="1" x14ac:dyDescent="0.25">
      <c r="A27" s="35" t="s">
        <v>4397</v>
      </c>
      <c r="B27" s="36" t="s">
        <v>4398</v>
      </c>
      <c r="C27" s="36" t="str">
        <f ca="1">IFERROR(__xludf.DUMMYFUNCTION("""COMPUTED_VALUE"""),"2. aktual. Aufl.")</f>
        <v>2. aktual. Aufl.</v>
      </c>
      <c r="D27" s="37" t="str">
        <f ca="1">IFERROR(__xludf.DUMMYFUNCTION("""COMPUTED_VALUE"""),"Tübingen : Mohr Siebeck, 2014.")</f>
        <v>Tübingen : Mohr Siebeck, 2014.</v>
      </c>
      <c r="E27" s="36" t="str">
        <f ca="1">IFERROR(__xludf.DUMMYFUNCTION("""COMPUTED_VALUE"""),"34(4-672EU) ΚΩΔ PecM e 2014")</f>
        <v>34(4-672EU) ΚΩΔ PecM e 2014</v>
      </c>
      <c r="F27" s="38" t="str">
        <f ca="1">IFERROR(__xludf.DUMMYFUNCTION("""COMPUTED_VALUE"""),"Αίθουσα Διεθνούς Δικαίου και Εμπορικού Δικαίου")</f>
        <v>Αίθουσα Διεθνούς Δικαίου και Εμπορικού Δικαίου</v>
      </c>
    </row>
    <row r="28" spans="1:6" ht="51.75" customHeight="1" x14ac:dyDescent="0.25">
      <c r="A28" s="35" t="s">
        <v>4399</v>
      </c>
      <c r="B28" s="36" t="s">
        <v>4400</v>
      </c>
      <c r="C28" s="36" t="str">
        <f ca="1">IFERROR(__xludf.DUMMYFUNCTION("""COMPUTED_VALUE"""),"")</f>
        <v/>
      </c>
      <c r="D28" s="37" t="str">
        <f ca="1">IFERROR(__xludf.DUMMYFUNCTION("""COMPUTED_VALUE"""),"Tübingen : Mohr Siebeck, 2010.")</f>
        <v>Tübingen : Mohr Siebeck, 2010.</v>
      </c>
      <c r="E28" s="36" t="str">
        <f ca="1">IFERROR(__xludf.DUMMYFUNCTION("""COMPUTED_VALUE"""),"34(4-672EU) ΚΩΔ PecM e 2010")</f>
        <v>34(4-672EU) ΚΩΔ PecM e 2010</v>
      </c>
      <c r="F28" s="38" t="str">
        <f ca="1">IFERROR(__xludf.DUMMYFUNCTION("""COMPUTED_VALUE"""),"Αίθουσα Διεθνούς Δικαίου και Εμπορικού Δικαίου")</f>
        <v>Αίθουσα Διεθνούς Δικαίου και Εμπορικού Δικαίου</v>
      </c>
    </row>
    <row r="29" spans="1:6" ht="51.75" customHeight="1" x14ac:dyDescent="0.25">
      <c r="A29" s="35" t="s">
        <v>4401</v>
      </c>
      <c r="B29" s="36" t="str">
        <f ca="1">IFERROR(__xludf.DUMMYFUNCTION("""COMPUTED_VALUE"""),"")</f>
        <v/>
      </c>
      <c r="C29" s="36" t="str">
        <f ca="1">IFERROR(__xludf.DUMMYFUNCTION("""COMPUTED_VALUE"""),"")</f>
        <v/>
      </c>
      <c r="D29" s="37" t="str">
        <f ca="1">IFERROR(__xludf.DUMMYFUNCTION("""COMPUTED_VALUE"""),"Koln : O. Schmidt, 1992.")</f>
        <v>Koln : O. Schmidt, 1992.</v>
      </c>
      <c r="E29" s="36" t="str">
        <f ca="1">IFERROR(__xludf.DUMMYFUNCTION("""COMPUTED_VALUE"""),"34(082.2) GmbH f 1992")</f>
        <v>34(082.2) GmbH f 1992</v>
      </c>
      <c r="F29" s="38" t="str">
        <f ca="1">IFERROR(__xludf.DUMMYFUNCTION("""COMPUTED_VALUE"""),"Αίθουσα τιμητικών τόμων")</f>
        <v>Αίθουσα τιμητικών τόμων</v>
      </c>
    </row>
    <row r="30" spans="1:6" ht="51.75" customHeight="1" x14ac:dyDescent="0.25">
      <c r="A30" s="35" t="str">
        <f ca="1">IFERROR(__xludf.DUMMYFUNCTION("""COMPUTED_VALUE"""),"Foi chrétienne et églises dans la société politique de l'Occident du Haut Moyen Âge (IVe-XIIe siècle) / textes réunis par Jacqueline Hoareau-Dodinau et Pascal Texier.")</f>
        <v>Foi chrétienne et églises dans la société politique de l'Occident du Haut Moyen Âge (IVe-XIIe siècle) / textes réunis par Jacqueline Hoareau-Dodinau et Pascal Texier.</v>
      </c>
      <c r="B30" s="36" t="str">
        <f ca="1">IFERROR(__xludf.DUMMYFUNCTION("""COMPUTED_VALUE"""),"Journées d'Histoire du Droit (23th : 2003 : Limoges, France)")</f>
        <v>Journées d'Histoire du Droit (23th : 2003 : Limoges, France)</v>
      </c>
      <c r="C30" s="36" t="str">
        <f ca="1">IFERROR(__xludf.DUMMYFUNCTION("""COMPUTED_VALUE"""),"")</f>
        <v/>
      </c>
      <c r="D30" s="37" t="str">
        <f ca="1">IFERROR(__xludf.DUMMYFUNCTION("""COMPUTED_VALUE"""),"Limoges : Pulim, [2004]")</f>
        <v>Limoges : Pulim, [2004]</v>
      </c>
      <c r="E30" s="36" t="str">
        <f ca="1">IFERROR(__xludf.DUMMYFUNCTION("""COMPUTED_VALUE"""),"27-9(063) JHD2003 f [2004]")</f>
        <v>27-9(063) JHD2003 f [2004]</v>
      </c>
      <c r="F30" s="38" t="str">
        <f ca="1">IFERROR(__xludf.DUMMYFUNCTION("""COMPUTED_VALUE"""),"Αίθουσα Ιστορίας, Θεωρίας και Φιλοσοφίας του Δικαίου")</f>
        <v>Αίθουσα Ιστορίας, Θεωρίας και Φιλοσοφίας του Δικαίου</v>
      </c>
    </row>
    <row r="31" spans="1:6" ht="51.75" customHeight="1" x14ac:dyDescent="0.25">
      <c r="A31" s="35" t="str">
        <f ca="1">IFERROR(__xludf.DUMMYFUNCTION("""COMPUTED_VALUE"""),"Geist und Gesellschaft in Griechenland / Demetrios Tsakonas.")</f>
        <v>Geist und Gesellschaft in Griechenland / Demetrios Tsakonas.</v>
      </c>
      <c r="B31" s="36" t="str">
        <f ca="1">IFERROR(__xludf.DUMMYFUNCTION("""COMPUTED_VALUE"""),"Τσάκωνας, Δημήτριος Γρ., 1921-2004.")</f>
        <v>Τσάκωνας, Δημήτριος Γρ., 1921-2004.</v>
      </c>
      <c r="C31" s="36" t="str">
        <f ca="1">IFERROR(__xludf.DUMMYFUNCTION("""COMPUTED_VALUE"""),"")</f>
        <v/>
      </c>
      <c r="D31" s="37" t="str">
        <f ca="1">IFERROR(__xludf.DUMMYFUNCTION("""COMPUTED_VALUE"""),"Bonn : H. Bouvier, 1965.")</f>
        <v>Bonn : H. Bouvier, 1965.</v>
      </c>
      <c r="E31" s="36" t="str">
        <f ca="1">IFERROR(__xludf.DUMMYFUNCTION("""COMPUTED_VALUE"""),"930.85(495) ΤσαΔ g 1965")</f>
        <v>930.85(495) ΤσαΔ g 1965</v>
      </c>
      <c r="F31" s="38" t="str">
        <f ca="1">IFERROR(__xludf.DUMMYFUNCTION("""COMPUTED_VALUE"""),"Αίθουσα Ιστορίας, Θεωρίας και Φιλοσοφίας του Δικαίου")</f>
        <v>Αίθουσα Ιστορίας, Θεωρίας και Φιλοσοφίας του Δικαίου</v>
      </c>
    </row>
    <row r="32" spans="1:6" ht="51.75" customHeight="1" x14ac:dyDescent="0.25">
      <c r="A32" s="35" t="s">
        <v>4402</v>
      </c>
      <c r="B32" s="36" t="str">
        <f ca="1">IFERROR(__xludf.DUMMYFUNCTION("""COMPUTED_VALUE"""),"")</f>
        <v/>
      </c>
      <c r="C32" s="36" t="str">
        <f ca="1">IFERROR(__xludf.DUMMYFUNCTION("""COMPUTED_VALUE"""),"")</f>
        <v/>
      </c>
      <c r="D32" s="37" t="str">
        <f ca="1">IFERROR(__xludf.DUMMYFUNCTION("""COMPUTED_VALUE"""),"Geneva : World Intellectual Property Organization, 1978.")</f>
        <v>Geneva : World Intellectual Property Organization, 1978.</v>
      </c>
      <c r="E32" s="36" t="str">
        <f ca="1">IFERROR(__xludf.DUMMYFUNCTION("""COMPUTED_VALUE"""),"347.778 WIPO g 1978")</f>
        <v>347.778 WIPO g 1978</v>
      </c>
      <c r="F32" s="38" t="str">
        <f ca="1">IFERROR(__xludf.DUMMYFUNCTION("""COMPUTED_VALUE"""),"Αίθουσα Διεθνούς Δικαίου και Εμπορικού Δικαίου")</f>
        <v>Αίθουσα Διεθνούς Δικαίου και Εμπορικού Δικαίου</v>
      </c>
    </row>
    <row r="33" spans="1:6" ht="51.75" customHeight="1" x14ac:dyDescent="0.25">
      <c r="A33" s="35" t="str">
        <f ca="1">IFERROR(__xludf.DUMMYFUNCTION("""COMPUTED_VALUE"""),"Gleichformiges Unternehmensverhalten ohne Kommunikation : die kartellrechtliche Bewertung des bewussten Parallelverhaltens nach dem Gesetz gegen Wettbewerbsbeschrankungen und dem Recht der Europaischen Gemeinschaften: zugleich ein Beitrag zum kartellrecht"&amp;"lichen Missbrauchsbegriff / von Peter Bulow.")</f>
        <v>Gleichformiges Unternehmensverhalten ohne Kommunikation : die kartellrechtliche Bewertung des bewussten Parallelverhaltens nach dem Gesetz gegen Wettbewerbsbeschrankungen und dem Recht der Europaischen Gemeinschaften: zugleich ein Beitrag zum kartellrechtlichen Missbrauchsbegriff / von Peter Bulow.</v>
      </c>
      <c r="B33" s="36" t="str">
        <f ca="1">IFERROR(__xludf.DUMMYFUNCTION("""COMPUTED_VALUE"""),"Bulow, Peter.")</f>
        <v>Bulow, Peter.</v>
      </c>
      <c r="C33" s="36" t="str">
        <f ca="1">IFERROR(__xludf.DUMMYFUNCTION("""COMPUTED_VALUE"""),"")</f>
        <v/>
      </c>
      <c r="D33" s="37" t="str">
        <f ca="1">IFERROR(__xludf.DUMMYFUNCTION("""COMPUTED_VALUE"""),"Berlin : Duncker &amp; Humblot, 1983.")</f>
        <v>Berlin : Duncker &amp; Humblot, 1983.</v>
      </c>
      <c r="E33" s="36" t="str">
        <f ca="1">IFERROR(__xludf.DUMMYFUNCTION("""COMPUTED_VALUE"""),"347.776(4-672EC) BulP g 1983")</f>
        <v>347.776(4-672EC) BulP g 1983</v>
      </c>
      <c r="F33" s="38" t="str">
        <f ca="1">IFERROR(__xludf.DUMMYFUNCTION("""COMPUTED_VALUE"""),"Αίθουσα Διεθνούς Δικαίου και Εμπορικού Δικαίου")</f>
        <v>Αίθουσα Διεθνούς Δικαίου και Εμπορικού Δικαίου</v>
      </c>
    </row>
    <row r="34" spans="1:6" ht="51.75" customHeight="1" x14ac:dyDescent="0.25">
      <c r="A34" s="35" t="str">
        <f ca="1">IFERROR(__xludf.DUMMYFUNCTION("""COMPUTED_VALUE"""),"Gleichheit, Vielfalt, technischer Wandel : Berichte und Diskussionen auf der Tagung der Vereinigung der Deutschen Staatsrechtslehrer in Bonn vom 3.-6. Oktober 2018  /  Redaktion: Ute Sacksofsky.")</f>
        <v>Gleichheit, Vielfalt, technischer Wandel : Berichte und Diskussionen auf der Tagung der Vereinigung der Deutschen Staatsrechtslehrer in Bonn vom 3.-6. Oktober 2018  /  Redaktion: Ute Sacksofsky.</v>
      </c>
      <c r="B34" s="36" t="str">
        <f ca="1">IFERROR(__xludf.DUMMYFUNCTION("""COMPUTED_VALUE"""),"Vereinigung der Deutschen Staatsrechtslehrer.  Tagung  (2018 : Bonn)")</f>
        <v>Vereinigung der Deutschen Staatsrechtslehrer.  Tagung  (2018 : Bonn)</v>
      </c>
      <c r="C34" s="36" t="str">
        <f ca="1">IFERROR(__xludf.DUMMYFUNCTION("""COMPUTED_VALUE"""),"")</f>
        <v/>
      </c>
      <c r="D34" s="37" t="str">
        <f ca="1">IFERROR(__xludf.DUMMYFUNCTION("""COMPUTED_VALUE"""),"Berlin : De Gruyter, 2019.")</f>
        <v>Berlin : De Gruyter, 2019.</v>
      </c>
      <c r="E34" s="36" t="str">
        <f ca="1">IFERROR(__xludf.DUMMYFUNCTION("""COMPUTED_VALUE"""),"342.722(063) VDS2018 g 2019")</f>
        <v>342.722(063) VDS2018 g 2019</v>
      </c>
      <c r="F34" s="38" t="str">
        <f ca="1">IFERROR(__xludf.DUMMYFUNCTION("""COMPUTED_VALUE"""),"Αίθουσα Δημοσίου Δικαίου")</f>
        <v>Αίθουσα Δημοσίου Δικαίου</v>
      </c>
    </row>
    <row r="35" spans="1:6" ht="51.75" customHeight="1" x14ac:dyDescent="0.25">
      <c r="A35" s="35" t="str">
        <f ca="1">IFERROR(__xludf.DUMMYFUNCTION("""COMPUTED_VALUE"""),"Grundkurs Arbeitsrecht / von Abbo Junker.")</f>
        <v>Grundkurs Arbeitsrecht / von Abbo Junker.</v>
      </c>
      <c r="B35" s="36" t="str">
        <f ca="1">IFERROR(__xludf.DUMMYFUNCTION("""COMPUTED_VALUE"""),"Junker, Abbo.")</f>
        <v>Junker, Abbo.</v>
      </c>
      <c r="C35" s="36" t="str">
        <f ca="1">IFERROR(__xludf.DUMMYFUNCTION("""COMPUTED_VALUE"""),"17., neu bearbeitete Aufl.")</f>
        <v>17., neu bearbeitete Aufl.</v>
      </c>
      <c r="D35" s="37" t="str">
        <f ca="1">IFERROR(__xludf.DUMMYFUNCTION("""COMPUTED_VALUE"""),"München : C.H.Beck, 2019.")</f>
        <v>München : C.H.Beck, 2019.</v>
      </c>
      <c r="E35" s="36" t="str">
        <f ca="1">IFERROR(__xludf.DUMMYFUNCTION("""COMPUTED_VALUE"""),"349.2(430) JunA g 2018")</f>
        <v>349.2(430) JunA g 2018</v>
      </c>
      <c r="F35" s="38" t="str">
        <f ca="1">IFERROR(__xludf.DUMMYFUNCTION("""COMPUTED_VALUE"""),"Αίθουσα Ποινικού Δικαίου και Εργατικού Δικαίου")</f>
        <v>Αίθουσα Ποινικού Δικαίου και Εργατικού Δικαίου</v>
      </c>
    </row>
    <row r="36" spans="1:6" ht="51.75" customHeight="1" x14ac:dyDescent="0.25">
      <c r="A36" s="35" t="str">
        <f ca="1">IFERROR(__xludf.DUMMYFUNCTION("""COMPUTED_VALUE"""),"Grundrechte in Griechenland / Julia Iliopoulos-Strangas.")</f>
        <v>Grundrechte in Griechenland / Julia Iliopoulos-Strangas.</v>
      </c>
      <c r="B36" s="36" t="str">
        <f ca="1">IFERROR(__xludf.DUMMYFUNCTION("""COMPUTED_VALUE"""),"Ηλιοπούλου-Στράγγα, Τζούλια.")</f>
        <v>Ηλιοπούλου-Στράγγα, Τζούλια.</v>
      </c>
      <c r="C36" s="36" t="str">
        <f ca="1">IFERROR(__xludf.DUMMYFUNCTION("""COMPUTED_VALUE"""),"")</f>
        <v/>
      </c>
      <c r="D36" s="37" t="str">
        <f ca="1">IFERROR(__xludf.DUMMYFUNCTION("""COMPUTED_VALUE"""),"Heidelberg : C. F. Müller, [2017 ]")</f>
        <v>Heidelberg : C. F. Müller, [2017 ]</v>
      </c>
      <c r="E36" s="36" t="str">
        <f ca="1">IFERROR(__xludf.DUMMYFUNCTION("""COMPUTED_VALUE"""),"342.7 ΗλιΤ g [2017 ]")</f>
        <v>342.7 ΗλιΤ g [2017 ]</v>
      </c>
      <c r="F36" s="38" t="str">
        <f ca="1">IFERROR(__xludf.DUMMYFUNCTION("""COMPUTED_VALUE"""),"Αίθουσα Δημοσίου Δικαίου")</f>
        <v>Αίθουσα Δημοσίου Δικαίου</v>
      </c>
    </row>
    <row r="37" spans="1:6" ht="51.75" customHeight="1" x14ac:dyDescent="0.25">
      <c r="A37" s="35" t="str">
        <f ca="1">IFERROR(__xludf.DUMMYFUNCTION("""COMPUTED_VALUE"""),"Grundzüge des Sozialrechts : erläutert durch praktische Fälle / Norbert Henke ; hrsg. vom Inst. fur Sozialrecht d. Ruhr-Univ. Bochum.")</f>
        <v>Grundzüge des Sozialrechts : erläutert durch praktische Fälle / Norbert Henke ; hrsg. vom Inst. fur Sozialrecht d. Ruhr-Univ. Bochum.</v>
      </c>
      <c r="B37" s="36" t="str">
        <f ca="1">IFERROR(__xludf.DUMMYFUNCTION("""COMPUTED_VALUE"""),"Henke, Norbert, 1939-")</f>
        <v>Henke, Norbert, 1939-</v>
      </c>
      <c r="C37" s="36" t="str">
        <f ca="1">IFERROR(__xludf.DUMMYFUNCTION("""COMPUTED_VALUE"""),"1. Aufl.")</f>
        <v>1. Aufl.</v>
      </c>
      <c r="D37" s="37" t="str">
        <f ca="1">IFERROR(__xludf.DUMMYFUNCTION("""COMPUTED_VALUE"""),"Berlin ; New York : De Gruyter, 1977.")</f>
        <v>Berlin ; New York : De Gruyter, 1977.</v>
      </c>
      <c r="E37" s="36" t="str">
        <f ca="1">IFERROR(__xludf.DUMMYFUNCTION("""COMPUTED_VALUE"""),"349.3(430) HenN g 1977")</f>
        <v>349.3(430) HenN g 1977</v>
      </c>
      <c r="F37" s="38" t="str">
        <f ca="1">IFERROR(__xludf.DUMMYFUNCTION("""COMPUTED_VALUE"""),"Αίθουσα Ποινικού Δικαίου και Εργατικού Δικαίου")</f>
        <v>Αίθουσα Ποινικού Δικαίου και Εργατικού Δικαίου</v>
      </c>
    </row>
    <row r="38" spans="1:6" ht="51.75" customHeight="1" x14ac:dyDescent="0.25">
      <c r="A38" s="35" t="str">
        <f ca="1">IFERROR(__xludf.DUMMYFUNCTION("""COMPUTED_VALUE"""),"Guide to the Berne convention for the protection of literary and artistic works (Paris act, 1971).")</f>
        <v>Guide to the Berne convention for the protection of literary and artistic works (Paris act, 1971).</v>
      </c>
      <c r="B38" s="36" t="str">
        <f ca="1">IFERROR(__xludf.DUMMYFUNCTION("""COMPUTED_VALUE"""),"World Intellectual Property Organization.")</f>
        <v>World Intellectual Property Organization.</v>
      </c>
      <c r="C38" s="36" t="str">
        <f ca="1">IFERROR(__xludf.DUMMYFUNCTION("""COMPUTED_VALUE"""),"")</f>
        <v/>
      </c>
      <c r="D38" s="37" t="str">
        <f ca="1">IFERROR(__xludf.DUMMYFUNCTION("""COMPUTED_VALUE"""),"Geneva : WIPO, 1978.")</f>
        <v>Geneva : WIPO, 1978.</v>
      </c>
      <c r="E38" s="36" t="str">
        <f ca="1">IFERROR(__xludf.DUMMYFUNCTION("""COMPUTED_VALUE"""),"347.78 WIPO g 1978")</f>
        <v>347.78 WIPO g 1978</v>
      </c>
      <c r="F38" s="38" t="str">
        <f ca="1">IFERROR(__xludf.DUMMYFUNCTION("""COMPUTED_VALUE"""),"Αίθουσα Αστικού και Αστικού Δικονομικού Δικαίου")</f>
        <v>Αίθουσα Αστικού και Αστικού Δικονομικού Δικαίου</v>
      </c>
    </row>
    <row r="39" spans="1:6" ht="51.75" customHeight="1" x14ac:dyDescent="0.25">
      <c r="A39" s="35" t="s">
        <v>4403</v>
      </c>
      <c r="B39" s="36" t="s">
        <v>4404</v>
      </c>
      <c r="C39" s="36" t="str">
        <f ca="1">IFERROR(__xludf.DUMMYFUNCTION("""COMPUTED_VALUE"""),"")</f>
        <v/>
      </c>
      <c r="D39" s="37" t="str">
        <f ca="1">IFERROR(__xludf.DUMMYFUNCTION("""COMPUTED_VALUE"""),"The Hague, The Netherlands : T.M.C. Asser Press, c2011.")</f>
        <v>The Hague, The Netherlands : T.M.C. Asser Press, c2011.</v>
      </c>
      <c r="E39" s="36" t="str">
        <f ca="1">IFERROR(__xludf.DUMMYFUNCTION("""COMPUTED_VALUE"""),"34:614(4-672EU) GroJ h 2011")</f>
        <v>34:614(4-672EU) GroJ h 2011</v>
      </c>
      <c r="F39" s="38" t="str">
        <f ca="1">IFERROR(__xludf.DUMMYFUNCTION("""COMPUTED_VALUE"""),"Αίθουσα Δημοσίου Δικαίου")</f>
        <v>Αίθουσα Δημοσίου Δικαίου</v>
      </c>
    </row>
    <row r="40" spans="1:6" ht="51.75" customHeight="1" x14ac:dyDescent="0.25">
      <c r="A40" s="35" t="str">
        <f ca="1">IFERROR(__xludf.DUMMYFUNCTION("""COMPUTED_VALUE"""),"Health care ethics and the law / Donna K  Hammaker, Thomas M. Knadig   with Sarah J. Tomlinson.")</f>
        <v>Health care ethics and the law / Donna K  Hammaker, Thomas M. Knadig   with Sarah J. Tomlinson.</v>
      </c>
      <c r="B40" s="36" t="str">
        <f ca="1">IFERROR(__xludf.DUMMYFUNCTION("""COMPUTED_VALUE"""),"Hammaker, Donna K.")</f>
        <v>Hammaker, Donna K.</v>
      </c>
      <c r="C40" s="36" t="str">
        <f ca="1">IFERROR(__xludf.DUMMYFUNCTION("""COMPUTED_VALUE"""),"")</f>
        <v/>
      </c>
      <c r="D40" s="37" t="str">
        <f ca="1">IFERROR(__xludf.DUMMYFUNCTION("""COMPUTED_VALUE"""),"Burlington, MA : Jones &amp; Bartlett Learning, [2017]")</f>
        <v>Burlington, MA : Jones &amp; Bartlett Learning, [2017]</v>
      </c>
      <c r="E40" s="36" t="str">
        <f ca="1">IFERROR(__xludf.DUMMYFUNCTION("""COMPUTED_VALUE"""),"34:614(73) HamD h 2017")</f>
        <v>34:614(73) HamD h 2017</v>
      </c>
      <c r="F40" s="38" t="str">
        <f ca="1">IFERROR(__xludf.DUMMYFUNCTION("""COMPUTED_VALUE"""),"Αίθουσα Δημοσίου Δικαίου")</f>
        <v>Αίθουσα Δημοσίου Δικαίου</v>
      </c>
    </row>
    <row r="41" spans="1:6" ht="51.75" customHeight="1" x14ac:dyDescent="0.25">
      <c r="A41" s="35" t="str">
        <f ca="1">IFERROR(__xludf.DUMMYFUNCTION("""COMPUTED_VALUE"""),"Health care law / Jonathan Montgomery.")</f>
        <v>Health care law / Jonathan Montgomery.</v>
      </c>
      <c r="B41" s="36" t="str">
        <f ca="1">IFERROR(__xludf.DUMMYFUNCTION("""COMPUTED_VALUE"""),"Montgomery, Jonathan.")</f>
        <v>Montgomery, Jonathan.</v>
      </c>
      <c r="C41" s="36" t="str">
        <f ca="1">IFERROR(__xludf.DUMMYFUNCTION("""COMPUTED_VALUE"""),"2nd ed.")</f>
        <v>2nd ed.</v>
      </c>
      <c r="D41" s="37" t="str">
        <f ca="1">IFERROR(__xludf.DUMMYFUNCTION("""COMPUTED_VALUE"""),"Oxford   New York : Oxford University Press, c2003.")</f>
        <v>Oxford   New York : Oxford University Press, c2003.</v>
      </c>
      <c r="E41" s="36" t="str">
        <f ca="1">IFERROR(__xludf.DUMMYFUNCTION("""COMPUTED_VALUE"""),"34:614 MonJ h 2003")</f>
        <v>34:614 MonJ h 2003</v>
      </c>
      <c r="F41" s="38" t="s">
        <v>74</v>
      </c>
    </row>
    <row r="42" spans="1:6" ht="51.75" customHeight="1" x14ac:dyDescent="0.25">
      <c r="A42" s="35" t="str">
        <f ca="1">IFERROR(__xludf.DUMMYFUNCTION("""COMPUTED_VALUE"""),"Health law : cases, materials, and problems / Barry R. Furrow ... [et al.].")</f>
        <v>Health law : cases, materials, and problems / Barry R. Furrow ... [et al.].</v>
      </c>
      <c r="B42" s="36" t="str">
        <f ca="1">IFERROR(__xludf.DUMMYFUNCTION("""COMPUTED_VALUE"""),"Furrow, Barry R.")</f>
        <v>Furrow, Barry R.</v>
      </c>
      <c r="C42" s="36" t="str">
        <f ca="1">IFERROR(__xludf.DUMMYFUNCTION("""COMPUTED_VALUE"""),"8th  abridged ed.")</f>
        <v>8th  abridged ed.</v>
      </c>
      <c r="D42" s="37" t="str">
        <f ca="1">IFERROR(__xludf.DUMMYFUNCTION("""COMPUTED_VALUE"""),"St. Paul, MN : West Academic Publishing, [2018]")</f>
        <v>St. Paul, MN : West Academic Publishing, [2018]</v>
      </c>
      <c r="E42" s="36" t="str">
        <f ca="1">IFERROR(__xludf.DUMMYFUNCTION("""COMPUTED_VALUE"""),"34:614(73)(094.9) FurB h 2018")</f>
        <v>34:614(73)(094.9) FurB h 2018</v>
      </c>
      <c r="F42" s="38" t="str">
        <f ca="1">IFERROR(__xludf.DUMMYFUNCTION("""COMPUTED_VALUE"""),"Αίθουσα Δημοσίου Δικαίου")</f>
        <v>Αίθουσα Δημοσίου Δικαίου</v>
      </c>
    </row>
    <row r="43" spans="1:6" ht="51.75" customHeight="1" x14ac:dyDescent="0.25">
      <c r="A43" s="35" t="s">
        <v>4405</v>
      </c>
      <c r="B43" s="36" t="s">
        <v>4406</v>
      </c>
      <c r="C43" s="36" t="str">
        <f ca="1">IFERROR(__xludf.DUMMYFUNCTION("""COMPUTED_VALUE"""),"")</f>
        <v/>
      </c>
      <c r="D43" s="37" t="str">
        <f ca="1">IFERROR(__xludf.DUMMYFUNCTION("""COMPUTED_VALUE"""),"Cambridge   New York, N.Y. : Cambridge University Press, 2010.")</f>
        <v>Cambridge   New York, N.Y. : Cambridge University Press, 2010.</v>
      </c>
      <c r="E43" s="36" t="str">
        <f ca="1">IFERROR(__xludf.DUMMYFUNCTION("""COMPUTED_VALUE"""),"34:614(4-762EU) ΜοσΗ h 2010")</f>
        <v>34:614(4-762EU) ΜοσΗ h 2010</v>
      </c>
      <c r="F43" s="38" t="s">
        <v>3844</v>
      </c>
    </row>
    <row r="44" spans="1:6" ht="51.75" customHeight="1" x14ac:dyDescent="0.25">
      <c r="A44" s="35" t="s">
        <v>4407</v>
      </c>
      <c r="B44" s="36" t="s">
        <v>4408</v>
      </c>
      <c r="C44" s="36" t="str">
        <f ca="1">IFERROR(__xludf.DUMMYFUNCTION("""COMPUTED_VALUE"""),"")</f>
        <v/>
      </c>
      <c r="D44" s="37" t="s">
        <v>4409</v>
      </c>
      <c r="E44" s="36" t="str">
        <f ca="1">IFERROR(__xludf.DUMMYFUNCTION("""COMPUTED_VALUE"""),"34(082.2) CamA h 2019")</f>
        <v>34(082.2) CamA h 2019</v>
      </c>
      <c r="F44" s="38" t="str">
        <f ca="1">IFERROR(__xludf.DUMMYFUNCTION("""COMPUTED_VALUE"""),"Αίθουσα τιμητικών τόμων, 1ος όροφος")</f>
        <v>Αίθουσα τιμητικών τόμων, 1ος όροφος</v>
      </c>
    </row>
    <row r="45" spans="1:6" ht="51.75" customHeight="1" x14ac:dyDescent="0.25">
      <c r="A45" s="35" t="str">
        <f ca="1">IFERROR(__xludf.DUMMYFUNCTION("""COMPUTED_VALUE"""),"I diritti sulle opere dell'ingegno / Paolo Greco, Paolo Vercellone.")</f>
        <v>I diritti sulle opere dell'ingegno / Paolo Greco, Paolo Vercellone.</v>
      </c>
      <c r="B45" s="36" t="str">
        <f ca="1">IFERROR(__xludf.DUMMYFUNCTION("""COMPUTED_VALUE"""),"Greco, Paolo, 1889-1974.")</f>
        <v>Greco, Paolo, 1889-1974.</v>
      </c>
      <c r="C45" s="36" t="str">
        <f ca="1">IFERROR(__xludf.DUMMYFUNCTION("""COMPUTED_VALUE"""),"")</f>
        <v/>
      </c>
      <c r="D45" s="37" t="str">
        <f ca="1">IFERROR(__xludf.DUMMYFUNCTION("""COMPUTED_VALUE"""),"Torino : Unione tipografico-editrice torinese, c1974.")</f>
        <v>Torino : Unione tipografico-editrice torinese, c1974.</v>
      </c>
      <c r="E45" s="36" t="str">
        <f ca="1">IFERROR(__xludf.DUMMYFUNCTION("""COMPUTED_VALUE"""),"347.78 GreP d 1974")</f>
        <v>347.78 GreP d 1974</v>
      </c>
      <c r="F45" s="38" t="str">
        <f ca="1">IFERROR(__xludf.DUMMYFUNCTION("""COMPUTED_VALUE"""),"Αίθουσα Αστικού και Αστικού Δικονομικού Δικαίου")</f>
        <v>Αίθουσα Αστικού και Αστικού Δικονομικού Δικαίου</v>
      </c>
    </row>
    <row r="46" spans="1:6" ht="51.75" customHeight="1" x14ac:dyDescent="0.25">
      <c r="A46" s="35" t="str">
        <f ca="1">IFERROR(__xludf.DUMMYFUNCTION("""COMPUTED_VALUE"""),"Individual labour rights as human rights : the contributions of the European Court of Human Rights to worker's rights protection / Elena Sychenko")</f>
        <v>Individual labour rights as human rights : the contributions of the European Court of Human Rights to worker's rights protection / Elena Sychenko</v>
      </c>
      <c r="B46" s="36" t="str">
        <f ca="1">IFERROR(__xludf.DUMMYFUNCTION("""COMPUTED_VALUE"""),"Sychenko, Elena.")</f>
        <v>Sychenko, Elena.</v>
      </c>
      <c r="C46" s="36" t="str">
        <f ca="1">IFERROR(__xludf.DUMMYFUNCTION("""COMPUTED_VALUE"""),"")</f>
        <v/>
      </c>
      <c r="D46" s="37" t="str">
        <f ca="1">IFERROR(__xludf.DUMMYFUNCTION("""COMPUTED_VALUE"""),"Alphen aan den Rijn Kluwer Law International, 2017.")</f>
        <v>Alphen aan den Rijn Kluwer Law International, 2017.</v>
      </c>
      <c r="E46" s="36" t="str">
        <f ca="1">IFERROR(__xludf.DUMMYFUNCTION("""COMPUTED_VALUE"""),"349.2(4)  SycE i 2917")</f>
        <v>349.2(4)  SycE i 2917</v>
      </c>
      <c r="F46" s="38" t="str">
        <f ca="1">IFERROR(__xludf.DUMMYFUNCTION("""COMPUTED_VALUE"""),"Αίθουσα Ποινικού Δικαίου και Εργατικού Δικαίου")</f>
        <v>Αίθουσα Ποινικού Δικαίου και Εργατικού Δικαίου</v>
      </c>
    </row>
    <row r="47" spans="1:6" ht="51.75" customHeight="1" x14ac:dyDescent="0.25">
      <c r="A47" s="35" t="str">
        <f ca="1">IFERROR(__xludf.DUMMYFUNCTION("""COMPUTED_VALUE"""),"Internationales Urheberrechts-Symposium : Heidelberg, 24.-25. April 1986 = International Copyright Symposium = Symposium international de Droit d́Auteur = Simposio internacional de Derecho de Autor / International Publishers Association, Börsenverein des "&amp;"Deutschen Buchhandels (Hrsg.).")</f>
        <v>Internationales Urheberrechts-Symposium : Heidelberg, 24.-25. April 1986 = International Copyright Symposium = Symposium international de Droit d́Auteur = Simposio internacional de Derecho de Autor / International Publishers Association, Börsenverein des Deutschen Buchhandels (Hrsg.).</v>
      </c>
      <c r="B47" s="36" t="str">
        <f ca="1">IFERROR(__xludf.DUMMYFUNCTION("""COMPUTED_VALUE"""),"Internationales Urheberrechts-Symposium (1986) : Heidelberg)")</f>
        <v>Internationales Urheberrechts-Symposium (1986) : Heidelberg)</v>
      </c>
      <c r="C47" s="36" t="str">
        <f ca="1">IFERROR(__xludf.DUMMYFUNCTION("""COMPUTED_VALUE"""),"")</f>
        <v/>
      </c>
      <c r="D47" s="37" t="str">
        <f ca="1">IFERROR(__xludf.DUMMYFUNCTION("""COMPUTED_VALUE"""),"München : J. Schweitzer, 1986.")</f>
        <v>München : J. Schweitzer, 1986.</v>
      </c>
      <c r="E47" s="36" t="str">
        <f ca="1">IFERROR(__xludf.DUMMYFUNCTION("""COMPUTED_VALUE"""),"347.78(063) IUS1986 1986")</f>
        <v>347.78(063) IUS1986 1986</v>
      </c>
      <c r="F47" s="38" t="str">
        <f ca="1">IFERROR(__xludf.DUMMYFUNCTION("""COMPUTED_VALUE"""),"Αίθουσα Αστικού και Αστικού Δικονομικού Δικαίου")</f>
        <v>Αίθουσα Αστικού και Αστικού Δικονομικού Δικαίου</v>
      </c>
    </row>
    <row r="48" spans="1:6" ht="51.75" customHeight="1" x14ac:dyDescent="0.25">
      <c r="A48" s="35" t="str">
        <f ca="1">IFERROR(__xludf.DUMMYFUNCTION("""COMPUTED_VALUE"""),"Judicial transformations : the rights revolution in the courts of Europe / Mitchel de D.-O.-L'E. Lasser.")</f>
        <v>Judicial transformations : the rights revolution in the courts of Europe / Mitchel de D.-O.-L'E. Lasser.</v>
      </c>
      <c r="B48" s="36" t="str">
        <f ca="1">IFERROR(__xludf.DUMMYFUNCTION("""COMPUTED_VALUE"""),"Lasser, Mitchel de S.-O.-L'E.")</f>
        <v>Lasser, Mitchel de S.-O.-L'E.</v>
      </c>
      <c r="C48" s="36" t="str">
        <f ca="1">IFERROR(__xludf.DUMMYFUNCTION("""COMPUTED_VALUE"""),"")</f>
        <v/>
      </c>
      <c r="D48" s="37" t="str">
        <f ca="1">IFERROR(__xludf.DUMMYFUNCTION("""COMPUTED_VALUE"""),"Oxford   New York : Oxford University Press, 2009.")</f>
        <v>Oxford   New York : Oxford University Press, 2009.</v>
      </c>
      <c r="E48" s="36" t="str">
        <f ca="1">IFERROR(__xludf.DUMMYFUNCTION("""COMPUTED_VALUE"""),"341.231.14(4) LasM j 2009")</f>
        <v>341.231.14(4) LasM j 2009</v>
      </c>
      <c r="F48" s="38" t="str">
        <f ca="1">IFERROR(__xludf.DUMMYFUNCTION("""COMPUTED_VALUE"""),"Αίθουσα Διεθνούς Δικαίου και Εμπορικού Δικαίου")</f>
        <v>Αίθουσα Διεθνούς Δικαίου και Εμπορικού Δικαίου</v>
      </c>
    </row>
    <row r="49" spans="1:6" ht="51.75" customHeight="1" x14ac:dyDescent="0.25">
      <c r="A49" s="35" t="s">
        <v>4410</v>
      </c>
      <c r="B49" s="36" t="str">
        <f ca="1">IFERROR(__xludf.DUMMYFUNCTION("""COMPUTED_VALUE"""),"Buck-Heeb, Petra.")</f>
        <v>Buck-Heeb, Petra.</v>
      </c>
      <c r="C49" s="36" t="str">
        <f ca="1">IFERROR(__xludf.DUMMYFUNCTION("""COMPUTED_VALUE"""),"6. völ. neu bearb. Aufl.")</f>
        <v>6. völ. neu bearb. Aufl.</v>
      </c>
      <c r="D49" s="37" t="str">
        <f ca="1">IFERROR(__xludf.DUMMYFUNCTION("""COMPUTED_VALUE"""),"Heidelberg : C. F. Müler, 2013.")</f>
        <v>Heidelberg : C. F. Müler, 2013.</v>
      </c>
      <c r="E49" s="36" t="str">
        <f ca="1">IFERROR(__xludf.DUMMYFUNCTION("""COMPUTED_VALUE"""),"347.731.1(430) BucP k 2013")</f>
        <v>347.731.1(430) BucP k 2013</v>
      </c>
      <c r="F49" s="38" t="str">
        <f ca="1">IFERROR(__xludf.DUMMYFUNCTION("""COMPUTED_VALUE"""),"Αίθουσα Διεθνούς Δικαίου και Εμπορικού Δικαίου")</f>
        <v>Αίθουσα Διεθνούς Δικαίου και Εμπορικού Δικαίου</v>
      </c>
    </row>
    <row r="50" spans="1:6" ht="51.75" customHeight="1" x14ac:dyDescent="0.25">
      <c r="A50" s="35" t="str">
        <f ca="1">IFERROR(__xludf.DUMMYFUNCTION("""COMPUTED_VALUE"""),"Kapitalmarktrecht / von Petra Buck-Heeb.")</f>
        <v>Kapitalmarktrecht / von Petra Buck-Heeb.</v>
      </c>
      <c r="B50" s="36" t="str">
        <f ca="1">IFERROR(__xludf.DUMMYFUNCTION("""COMPUTED_VALUE"""),"Buck-Heeb, Petra.")</f>
        <v>Buck-Heeb, Petra.</v>
      </c>
      <c r="C50" s="36" t="str">
        <f ca="1">IFERROR(__xludf.DUMMYFUNCTION("""COMPUTED_VALUE"""),"10. neu bearb. Aufl.")</f>
        <v>10. neu bearb. Aufl.</v>
      </c>
      <c r="D50" s="37" t="str">
        <f ca="1">IFERROR(__xludf.DUMMYFUNCTION("""COMPUTED_VALUE"""),"Heidelberg : C. F. Muller, 2019.")</f>
        <v>Heidelberg : C. F. Muller, 2019.</v>
      </c>
      <c r="E50" s="36" t="str">
        <f ca="1">IFERROR(__xludf.DUMMYFUNCTION("""COMPUTED_VALUE"""),"347.731.1(430) BucP k 2019")</f>
        <v>347.731.1(430) BucP k 2019</v>
      </c>
      <c r="F50" s="38" t="str">
        <f ca="1">IFERROR(__xludf.DUMMYFUNCTION("""COMPUTED_VALUE"""),"Αίθουσα Διεθνους Δικαίου και Εμπορικού Δικαίου")</f>
        <v>Αίθουσα Διεθνους Δικαίου και Εμπορικού Δικαίου</v>
      </c>
    </row>
    <row r="51" spans="1:6" ht="51.75" customHeight="1" x14ac:dyDescent="0.25">
      <c r="A51" s="35" t="str">
        <f ca="1">IFERROR(__xludf.DUMMYFUNCTION("""COMPUTED_VALUE"""),"Konzernaussenrecht und allgemeines Privatrecht : eine rechtsvergleichende Untersuchung nach deutschem und americikanischen Recht / von Eckard Rehbinder.")</f>
        <v>Konzernaussenrecht und allgemeines Privatrecht : eine rechtsvergleichende Untersuchung nach deutschem und americikanischen Recht / von Eckard Rehbinder.</v>
      </c>
      <c r="B51" s="36" t="str">
        <f ca="1">IFERROR(__xludf.DUMMYFUNCTION("""COMPUTED_VALUE"""),"Rehbinder, Eckard.")</f>
        <v>Rehbinder, Eckard.</v>
      </c>
      <c r="C51" s="36" t="str">
        <f ca="1">IFERROR(__xludf.DUMMYFUNCTION("""COMPUTED_VALUE"""),"")</f>
        <v/>
      </c>
      <c r="D51" s="37" t="str">
        <f ca="1">IFERROR(__xludf.DUMMYFUNCTION("""COMPUTED_VALUE"""),"Bad Homburg : Gehlen, 1969.")</f>
        <v>Bad Homburg : Gehlen, 1969.</v>
      </c>
      <c r="E51" s="36" t="str">
        <f ca="1">IFERROR(__xludf.DUMMYFUNCTION("""COMPUTED_VALUE"""),"347.776 RehE k 1969")</f>
        <v>347.776 RehE k 1969</v>
      </c>
      <c r="F51" s="38" t="str">
        <f ca="1">IFERROR(__xludf.DUMMYFUNCTION("""COMPUTED_VALUE"""),"Αίθουσα Διεθνούς Δικαίου και Εμπορικού Δικαίου")</f>
        <v>Αίθουσα Διεθνούς Δικαίου και Εμπορικού Δικαίου</v>
      </c>
    </row>
    <row r="52" spans="1:6" ht="51.75" customHeight="1" x14ac:dyDescent="0.25">
      <c r="A52" s="35" t="str">
        <f ca="1">IFERROR(__xludf.DUMMYFUNCTION("""COMPUTED_VALUE"""),"La culpabilité: actes de XX Journées d̀Histoire du Droit / Textes reunis par Jacqueline Hoareau-Dodinau et Pascal Texier.")</f>
        <v>La culpabilité: actes de XX Journées d̀Histoire du Droit / Textes reunis par Jacqueline Hoareau-Dodinau et Pascal Texier.</v>
      </c>
      <c r="B52" s="36" t="str">
        <f ca="1">IFERROR(__xludf.DUMMYFUNCTION("""COMPUTED_VALUE"""),"Journées d'Histoire du Droit (20th : 2000 : Limoges, France)")</f>
        <v>Journées d'Histoire du Droit (20th : 2000 : Limoges, France)</v>
      </c>
      <c r="C52" s="36" t="str">
        <f ca="1">IFERROR(__xludf.DUMMYFUNCTION("""COMPUTED_VALUE"""),"")</f>
        <v/>
      </c>
      <c r="D52" s="37" t="str">
        <f ca="1">IFERROR(__xludf.DUMMYFUNCTION("""COMPUTED_VALUE"""),"Limoges : PULIM, 2001.")</f>
        <v>Limoges : PULIM, 2001.</v>
      </c>
      <c r="E52" s="36" t="str">
        <f ca="1">IFERROR(__xludf.DUMMYFUNCTION("""COMPUTED_VALUE"""),"343.222(091)(063) JHD2000 c 2001")</f>
        <v>343.222(091)(063) JHD2000 c 2001</v>
      </c>
      <c r="F52" s="38" t="str">
        <f ca="1">IFERROR(__xludf.DUMMYFUNCTION("""COMPUTED_VALUE"""),"Αίθουσα Ποινικού Δικαίου και Εργατικού Δικαίου")</f>
        <v>Αίθουσα Ποινικού Δικαίου και Εργατικού Δικαίου</v>
      </c>
    </row>
    <row r="53" spans="1:6" ht="51.75" customHeight="1" x14ac:dyDescent="0.25">
      <c r="A53" s="35" t="str">
        <f ca="1">IFERROR(__xludf.DUMMYFUNCTION("""COMPUTED_VALUE"""),"La déscuétude : entre oubli et mort du droit? / textes réunis par Luc Guéraud.")</f>
        <v>La déscuétude : entre oubli et mort du droit? / textes réunis par Luc Guéraud.</v>
      </c>
      <c r="B53" s="36" t="str">
        <f ca="1">IFERROR(__xludf.DUMMYFUNCTION("""COMPUTED_VALUE"""),"Journées d'Histoire du Droit (32nd : 2012 : Limoges, France)")</f>
        <v>Journées d'Histoire du Droit (32nd : 2012 : Limoges, France)</v>
      </c>
      <c r="C53" s="36" t="str">
        <f ca="1">IFERROR(__xludf.DUMMYFUNCTION("""COMPUTED_VALUE"""),"")</f>
        <v/>
      </c>
      <c r="D53" s="37" t="str">
        <f ca="1">IFERROR(__xludf.DUMMYFUNCTION("""COMPUTED_VALUE"""),"Limoges : Pulim, 2013.")</f>
        <v>Limoges : Pulim, 2013.</v>
      </c>
      <c r="E53" s="36" t="str">
        <f ca="1">IFERROR(__xludf.DUMMYFUNCTION("""COMPUTED_VALUE"""),"340.132.6(063) JHD2012 d 2013")</f>
        <v>340.132.6(063) JHD2012 d 2013</v>
      </c>
      <c r="F53" s="38" t="str">
        <f ca="1">IFERROR(__xludf.DUMMYFUNCTION("""COMPUTED_VALUE"""),"Αίθουσα Ιστορίας, Θεωρίας και Φιλοσοφίας Δικαίου")</f>
        <v>Αίθουσα Ιστορίας, Θεωρίας και Φιλοσοφίας Δικαίου</v>
      </c>
    </row>
    <row r="54" spans="1:6" ht="51.75" customHeight="1" x14ac:dyDescent="0.25">
      <c r="A54" s="35" t="str">
        <f ca="1">IFERROR(__xludf.DUMMYFUNCTION("""COMPUTED_VALUE"""),"La peine : discours, pratiques, representations / textes réunis par Jacqueline Hoareau-Dodinau et Pascal Texier   préface de Jean-Marie Carbasse.")</f>
        <v>La peine : discours, pratiques, representations / textes réunis par Jacqueline Hoareau-Dodinau et Pascal Texier   préface de Jean-Marie Carbasse.</v>
      </c>
      <c r="B54" s="36" t="str">
        <f ca="1">IFERROR(__xludf.DUMMYFUNCTION("""COMPUTED_VALUE"""),"Journées d'Histoire du Droit (24th : 2004 : Limoges, France)")</f>
        <v>Journées d'Histoire du Droit (24th : 2004 : Limoges, France)</v>
      </c>
      <c r="C54" s="36" t="str">
        <f ca="1">IFERROR(__xludf.DUMMYFUNCTION("""COMPUTED_VALUE"""),"")</f>
        <v/>
      </c>
      <c r="D54" s="37" t="str">
        <f ca="1">IFERROR(__xludf.DUMMYFUNCTION("""COMPUTED_VALUE"""),"Limoges : PULIM, 2005.")</f>
        <v>Limoges : PULIM, 2005.</v>
      </c>
      <c r="E54" s="36" t="str">
        <f ca="1">IFERROR(__xludf.DUMMYFUNCTION("""COMPUTED_VALUE"""),"343.24(091)(063)‬ JHD2004 p 2005")</f>
        <v>343.24(091)(063)‬ JHD2004 p 2005</v>
      </c>
      <c r="F54" s="38" t="str">
        <f ca="1">IFERROR(__xludf.DUMMYFUNCTION("""COMPUTED_VALUE"""),"Αίθουσα Ποινικού Δικαίου και Εργατικού Δικαίου")</f>
        <v>Αίθουσα Ποινικού Δικαίου και Εργατικού Δικαίου</v>
      </c>
    </row>
    <row r="55" spans="1:6" ht="51.75" customHeight="1" x14ac:dyDescent="0.25">
      <c r="A55" s="35" t="s">
        <v>4411</v>
      </c>
      <c r="B55" s="36" t="s">
        <v>4388</v>
      </c>
      <c r="C55" s="36" t="str">
        <f ca="1">IFERROR(__xludf.DUMMYFUNCTION("""COMPUTED_VALUE"""),"")</f>
        <v/>
      </c>
      <c r="D55" s="37" t="str">
        <f ca="1">IFERROR(__xludf.DUMMYFUNCTION("""COMPUTED_VALUE"""),"Sitges :  Association Litteraire et Artistique Internationale, 1994.")</f>
        <v>Sitges :  Association Litteraire et Artistique Internationale, 1994.</v>
      </c>
      <c r="E55" s="36" t="str">
        <f ca="1">IFERROR(__xludf.DUMMYFUNCTION("""COMPUTED_VALUE"""),"347.78(063) ALAI1992 p 1994")</f>
        <v>347.78(063) ALAI1992 p 1994</v>
      </c>
      <c r="F55" s="38" t="str">
        <f ca="1">IFERROR(__xludf.DUMMYFUNCTION("""COMPUTED_VALUE"""),"Αίθουσα Αστικου και Αστικού Δικονομικού Δικαίου")</f>
        <v>Αίθουσα Αστικου και Αστικού Δικονομικού Δικαίου</v>
      </c>
    </row>
    <row r="56" spans="1:6" ht="51.75" customHeight="1" x14ac:dyDescent="0.25">
      <c r="A56" s="35" t="s">
        <v>4412</v>
      </c>
      <c r="B56" s="36" t="s">
        <v>4413</v>
      </c>
      <c r="C56" s="36" t="str">
        <f ca="1">IFERROR(__xludf.DUMMYFUNCTION("""COMPUTED_VALUE"""),"")</f>
        <v/>
      </c>
      <c r="D56" s="37" t="str">
        <f ca="1">IFERROR(__xludf.DUMMYFUNCTION("""COMPUTED_VALUE"""),"Limoges : Pulim, 2013.")</f>
        <v>Limoges : Pulim, 2013.</v>
      </c>
      <c r="E56" s="36" t="str">
        <f ca="1">IFERROR(__xludf.DUMMYFUNCTION("""COMPUTED_VALUE"""),"2-428(091) HoaJ r 2013")</f>
        <v>2-428(091) HoaJ r 2013</v>
      </c>
      <c r="F56" s="38" t="str">
        <f ca="1">IFERROR(__xludf.DUMMYFUNCTION("""COMPUTED_VALUE"""),"Αίθουσα Ιστορίας, Θεωρίας και Φιλοσοφίας του Δικαίου")</f>
        <v>Αίθουσα Ιστορίας, Θεωρίας και Φιλοσοφίας του Δικαίου</v>
      </c>
    </row>
    <row r="57" spans="1:6" ht="51.75" customHeight="1" x14ac:dyDescent="0.25">
      <c r="A57" s="35" t="str">
        <f ca="1">IFERROR(__xludf.DUMMYFUNCTION("""COMPUTED_VALUE"""),"La tutela dell'opera dell'ingegno e il plagio / Zara Olivia Algardi.")</f>
        <v>La tutela dell'opera dell'ingegno e il plagio / Zara Olivia Algardi.</v>
      </c>
      <c r="B57" s="36" t="str">
        <f ca="1">IFERROR(__xludf.DUMMYFUNCTION("""COMPUTED_VALUE"""),"Algardi, Zara Olivia, 1913-")</f>
        <v>Algardi, Zara Olivia, 1913-</v>
      </c>
      <c r="C57" s="36" t="str">
        <f ca="1">IFERROR(__xludf.DUMMYFUNCTION("""COMPUTED_VALUE"""),"")</f>
        <v/>
      </c>
      <c r="D57" s="37" t="str">
        <f ca="1">IFERROR(__xludf.DUMMYFUNCTION("""COMPUTED_VALUE"""),"Padova : CEDAM, 1978.")</f>
        <v>Padova : CEDAM, 1978.</v>
      </c>
      <c r="E57" s="36" t="str">
        <f ca="1">IFERROR(__xludf.DUMMYFUNCTION("""COMPUTED_VALUE"""),"347.78 AlgZ t 1978")</f>
        <v>347.78 AlgZ t 1978</v>
      </c>
      <c r="F57" s="38" t="str">
        <f ca="1">IFERROR(__xludf.DUMMYFUNCTION("""COMPUTED_VALUE"""),"Αίθουσα Αστικού και Αστικού Δικονομικού Δικαίου")</f>
        <v>Αίθουσα Αστικού και Αστικού Δικονομικού Δικαίου</v>
      </c>
    </row>
    <row r="58" spans="1:6" ht="51.75" customHeight="1" x14ac:dyDescent="0.25">
      <c r="A58" s="35" t="s">
        <v>4414</v>
      </c>
      <c r="B58" s="36" t="s">
        <v>4415</v>
      </c>
      <c r="C58" s="36" t="str">
        <f ca="1">IFERROR(__xludf.DUMMYFUNCTION("""COMPUTED_VALUE"""),"")</f>
        <v/>
      </c>
      <c r="D58" s="37" t="str">
        <f ca="1">IFERROR(__xludf.DUMMYFUNCTION("""COMPUTED_VALUE"""),"Paris : Belin, [2018]")</f>
        <v>Paris : Belin, [2018]</v>
      </c>
      <c r="E58" s="36" t="str">
        <f ca="1">IFERROR(__xludf.DUMMYFUNCTION("""COMPUTED_VALUE"""),"94(6) FauF a 2018")</f>
        <v>94(6) FauF a 2018</v>
      </c>
      <c r="F58" s="38" t="str">
        <f ca="1">IFERROR(__xludf.DUMMYFUNCTION("""COMPUTED_VALUE"""),"Αίθουσα Διεθνούς Δικαίου και Εμπορικού Δικαίου")</f>
        <v>Αίθουσα Διεθνούς Δικαίου και Εμπορικού Δικαίου</v>
      </c>
    </row>
    <row r="59" spans="1:6" ht="51.75" customHeight="1" x14ac:dyDescent="0.25">
      <c r="A59" s="35" t="str">
        <f ca="1">IFERROR(__xludf.DUMMYFUNCTION("""COMPUTED_VALUE"""),"Law and identity in colonial South Asia : Parsi legal culture, 1772-1947 / Mitra Sharafi.")</f>
        <v>Law and identity in colonial South Asia : Parsi legal culture, 1772-1947 / Mitra Sharafi.</v>
      </c>
      <c r="B59" s="36" t="str">
        <f ca="1">IFERROR(__xludf.DUMMYFUNCTION("""COMPUTED_VALUE"""),"Sharafi, Mitra June, 1974-")</f>
        <v>Sharafi, Mitra June, 1974-</v>
      </c>
      <c r="C59" s="36" t="str">
        <f ca="1">IFERROR(__xludf.DUMMYFUNCTION("""COMPUTED_VALUE"""),"")</f>
        <v/>
      </c>
      <c r="D59" s="37" t="str">
        <f ca="1">IFERROR(__xludf.DUMMYFUNCTION("""COMPUTED_VALUE"""),"New York, NY : Cambridge University Press, 2014.")</f>
        <v>New York, NY : Cambridge University Press, 2014.</v>
      </c>
      <c r="E59" s="36" t="str">
        <f ca="1">IFERROR(__xludf.DUMMYFUNCTION("""COMPUTED_VALUE"""),"254.25-74 ShaM l 2014")</f>
        <v>254.25-74 ShaM l 2014</v>
      </c>
      <c r="F59" s="38" t="str">
        <f ca="1">IFERROR(__xludf.DUMMYFUNCTION("""COMPUTED_VALUE"""),"Αίθουσα Διεθνούς Δικαίου και Εμπορικού Δικαίου")</f>
        <v>Αίθουσα Διεθνούς Δικαίου και Εμπορικού Δικαίου</v>
      </c>
    </row>
    <row r="60" spans="1:6" ht="51.75" customHeight="1" x14ac:dyDescent="0.25">
      <c r="A60" s="35" t="s">
        <v>4416</v>
      </c>
      <c r="B60" s="36" t="s">
        <v>4417</v>
      </c>
      <c r="C60" s="36" t="str">
        <f ca="1">IFERROR(__xludf.DUMMYFUNCTION("""COMPUTED_VALUE"""),"")</f>
        <v/>
      </c>
      <c r="D60" s="37" t="str">
        <f ca="1">IFERROR(__xludf.DUMMYFUNCTION("""COMPUTED_VALUE"""),"Switzerland : Springer, 2018.")</f>
        <v>Switzerland : Springer, 2018.</v>
      </c>
      <c r="E60" s="36" t="str">
        <f ca="1">IFERROR(__xludf.DUMMYFUNCTION("""COMPUTED_VALUE"""),"34:782 AnnF l 2018")</f>
        <v>34:782 AnnF l 2018</v>
      </c>
      <c r="F60" s="38" t="str">
        <f ca="1">IFERROR(__xludf.DUMMYFUNCTION("""COMPUTED_VALUE"""),"Αίθουσα Διεθνούς Δικαίου και Εμπορικού Δικαίου")</f>
        <v>Αίθουσα Διεθνούς Δικαίου και Εμπορικού Δικαίου</v>
      </c>
    </row>
    <row r="61" spans="1:6" ht="51.75" customHeight="1" x14ac:dyDescent="0.25">
      <c r="A61" s="35" t="s">
        <v>4418</v>
      </c>
      <c r="B61" s="36" t="s">
        <v>4419</v>
      </c>
      <c r="C61" s="36" t="str">
        <f ca="1">IFERROR(__xludf.DUMMYFUNCTION("""COMPUTED_VALUE"""),"")</f>
        <v/>
      </c>
      <c r="D61" s="37" t="str">
        <f ca="1">IFERROR(__xludf.DUMMYFUNCTION("""COMPUTED_VALUE"""),"Toronto    Buffalo    London :  University of Toronto Press, [2018]")</f>
        <v>Toronto    Buffalo    London :  University of Toronto Press, [2018]</v>
      </c>
      <c r="E61" s="36" t="str">
        <f ca="1">IFERROR(__xludf.DUMMYFUNCTION("""COMPUTED_VALUE"""),"34:7 ManD l 2018")</f>
        <v>34:7 ManD l 2018</v>
      </c>
      <c r="F61" s="38" t="str">
        <f ca="1">IFERROR(__xludf.DUMMYFUNCTION("""COMPUTED_VALUE"""),"Αίθουσα Αστικού και Αστικού Δικονομικου Δικαίου")</f>
        <v>Αίθουσα Αστικού και Αστικού Δικονομικου Δικαίου</v>
      </c>
    </row>
    <row r="62" spans="1:6" ht="51.75" customHeight="1" x14ac:dyDescent="0.25">
      <c r="A62" s="35" t="s">
        <v>4420</v>
      </c>
      <c r="B62" s="36" t="s">
        <v>4413</v>
      </c>
      <c r="C62" s="36" t="str">
        <f ca="1">IFERROR(__xludf.DUMMYFUNCTION("""COMPUTED_VALUE"""),"")</f>
        <v/>
      </c>
      <c r="D62" s="37" t="str">
        <f ca="1">IFERROR(__xludf.DUMMYFUNCTION("""COMPUTED_VALUE"""),"Limoges : Pulim, 1999.")</f>
        <v>Limoges : Pulim, 1999.</v>
      </c>
      <c r="E62" s="36" t="str">
        <f ca="1">IFERROR(__xludf.DUMMYFUNCTION("""COMPUTED_VALUE"""),"343.293(091) HoaJ p 1999")</f>
        <v>343.293(091) HoaJ p 1999</v>
      </c>
      <c r="F62" s="38" t="str">
        <f ca="1">IFERROR(__xludf.DUMMYFUNCTION("""COMPUTED_VALUE"""),"Αίθουσα Ποινικού Δικαίου και Εργατικού Δικαίου")</f>
        <v>Αίθουσα Ποινικού Δικαίου και Εργατικού Δικαίου</v>
      </c>
    </row>
    <row r="63" spans="1:6" ht="51.75" customHeight="1" x14ac:dyDescent="0.25">
      <c r="A63" s="35" t="str">
        <f ca="1">IFERROR(__xludf.DUMMYFUNCTION("""COMPUTED_VALUE"""),"Le prince et la norme : ce que légiférer veut dire / textes réunis par Jacqueline Hoareau-Dodinau, Guillaume Métaire, Pascal Texier.")</f>
        <v>Le prince et la norme : ce que légiférer veut dire / textes réunis par Jacqueline Hoareau-Dodinau, Guillaume Métaire, Pascal Texier.</v>
      </c>
      <c r="B63" s="36" t="str">
        <f ca="1">IFERROR(__xludf.DUMMYFUNCTION("""COMPUTED_VALUE"""),"Journées d'Histoire du Droit (26th : 2006 : Limoges, France)")</f>
        <v>Journées d'Histoire du Droit (26th : 2006 : Limoges, France)</v>
      </c>
      <c r="C63" s="36" t="str">
        <f ca="1">IFERROR(__xludf.DUMMYFUNCTION("""COMPUTED_VALUE"""),"")</f>
        <v/>
      </c>
      <c r="D63" s="37" t="str">
        <f ca="1">IFERROR(__xludf.DUMMYFUNCTION("""COMPUTED_VALUE"""),"Limoges : Pulim, 2007.")</f>
        <v>Limoges : Pulim, 2007.</v>
      </c>
      <c r="E63" s="36" t="str">
        <f ca="1">IFERROR(__xludf.DUMMYFUNCTION("""COMPUTED_VALUE"""),"342.52(091)(063) JHD2006 p 2007")</f>
        <v>342.52(091)(063) JHD2006 p 2007</v>
      </c>
      <c r="F63" s="38" t="str">
        <f ca="1">IFERROR(__xludf.DUMMYFUNCTION("""COMPUTED_VALUE"""),"Αίθουσα Ιστορίας, Θεωρίας και Φιλοσοφίας του Δικαίου")</f>
        <v>Αίθουσα Ιστορίας, Θεωρίας και Φιλοσοφίας του Δικαίου</v>
      </c>
    </row>
    <row r="64" spans="1:6" ht="51.75" customHeight="1" x14ac:dyDescent="0.25">
      <c r="A64" s="35" t="str">
        <f ca="1">IFERROR(__xludf.DUMMYFUNCTION("""COMPUTED_VALUE"""),"Les marques notoires et de haute renomée en droit français et en droit grec / Spyros Gatramis   Université des Sciences Sociales de Grenoble.")</f>
        <v>Les marques notoires et de haute renomée en droit français et en droit grec / Spyros Gatramis   Université des Sciences Sociales de Grenoble.</v>
      </c>
      <c r="B64" s="36" t="str">
        <f ca="1">IFERROR(__xludf.DUMMYFUNCTION("""COMPUTED_VALUE"""),"Gatramis, Spyros.")</f>
        <v>Gatramis, Spyros.</v>
      </c>
      <c r="C64" s="36" t="str">
        <f ca="1">IFERROR(__xludf.DUMMYFUNCTION("""COMPUTED_VALUE"""),"")</f>
        <v/>
      </c>
      <c r="D64" s="37" t="str">
        <f ca="1">IFERROR(__xludf.DUMMYFUNCTION("""COMPUTED_VALUE"""),"Grenoble : [s.n.], 1987.")</f>
        <v>Grenoble : [s.n.], 1987.</v>
      </c>
      <c r="E64" s="36" t="str">
        <f ca="1">IFERROR(__xludf.DUMMYFUNCTION("""COMPUTED_VALUE"""),"347.772 GatS m 1987 1")</f>
        <v>347.772 GatS m 1987 1</v>
      </c>
      <c r="F64" s="38" t="str">
        <f ca="1">IFERROR(__xludf.DUMMYFUNCTION("""COMPUTED_VALUE"""),"Αίθουσα Διεθνούς Δικαίου και Εμπορικού Δικαίου")</f>
        <v>Αίθουσα Διεθνούς Δικαίου και Εμπορικού Δικαίου</v>
      </c>
    </row>
    <row r="65" spans="1:6" ht="51.75" customHeight="1" x14ac:dyDescent="0.25">
      <c r="A65" s="35" t="str">
        <f ca="1">IFERROR(__xludf.DUMMYFUNCTION("""COMPUTED_VALUE"""),"Les marques notoires et de haute renomée en droit français et en droit grec / Spyros Gatramis   Université des Sciences Sociales de Grenoble.")</f>
        <v>Les marques notoires et de haute renomée en droit français et en droit grec / Spyros Gatramis   Université des Sciences Sociales de Grenoble.</v>
      </c>
      <c r="B65" s="36" t="str">
        <f ca="1">IFERROR(__xludf.DUMMYFUNCTION("""COMPUTED_VALUE"""),"Gatramis, Spyros.")</f>
        <v>Gatramis, Spyros.</v>
      </c>
      <c r="C65" s="36" t="str">
        <f ca="1">IFERROR(__xludf.DUMMYFUNCTION("""COMPUTED_VALUE"""),"")</f>
        <v/>
      </c>
      <c r="D65" s="37" t="str">
        <f ca="1">IFERROR(__xludf.DUMMYFUNCTION("""COMPUTED_VALUE"""),"Grenoble : [s.n.], 1987.")</f>
        <v>Grenoble : [s.n.], 1987.</v>
      </c>
      <c r="E65" s="36" t="str">
        <f ca="1">IFERROR(__xludf.DUMMYFUNCTION("""COMPUTED_VALUE"""),"347.772 GatS m 1987 2")</f>
        <v>347.772 GatS m 1987 2</v>
      </c>
      <c r="F65" s="38" t="str">
        <f ca="1">IFERROR(__xludf.DUMMYFUNCTION("""COMPUTED_VALUE"""),"Αίθουσα Διεθνούς Δικαίου και Εμπορικού Δικαίου")</f>
        <v>Αίθουσα Διεθνούς Δικαίου και Εμπορικού Δικαίου</v>
      </c>
    </row>
    <row r="66" spans="1:6" ht="51.75" customHeight="1" x14ac:dyDescent="0.25">
      <c r="A66" s="35" t="s">
        <v>4421</v>
      </c>
      <c r="B66" s="36" t="s">
        <v>4422</v>
      </c>
      <c r="C66" s="36" t="str">
        <f ca="1">IFERROR(__xludf.DUMMYFUNCTION("""COMPUTED_VALUE"""),"")</f>
        <v/>
      </c>
      <c r="D66" s="37" t="str">
        <f ca="1">IFERROR(__xludf.DUMMYFUNCTION("""COMPUTED_VALUE"""),"Limoges : PULIM, Presses universitaires de Limoges, 2014.")</f>
        <v>Limoges : PULIM, Presses universitaires de Limoges, 2014.</v>
      </c>
      <c r="E66" s="36" t="str">
        <f ca="1">IFERROR(__xludf.DUMMYFUNCTION("""COMPUTED_VALUE"""),"347.94(091)(063) EMP2013 2014")</f>
        <v>347.94(091)(063) EMP2013 2014</v>
      </c>
      <c r="F66" s="38" t="str">
        <f ca="1">IFERROR(__xludf.DUMMYFUNCTION("""COMPUTED_VALUE"""),"Αίθουσα Θεωρίας, Ιστορίας και Φιλοσοφίας του Δικαίου")</f>
        <v>Αίθουσα Θεωρίας, Ιστορίας και Φιλοσοφίας του Δικαίου</v>
      </c>
    </row>
    <row r="67" spans="1:6" ht="69.75" customHeight="1" x14ac:dyDescent="0.25">
      <c r="A67" s="35" t="s">
        <v>4423</v>
      </c>
      <c r="B67" s="36" t="s">
        <v>4388</v>
      </c>
      <c r="C67" s="36" t="str">
        <f ca="1">IFERROR(__xludf.DUMMYFUNCTION("""COMPUTED_VALUE"""),"")</f>
        <v/>
      </c>
      <c r="D67" s="37" t="str">
        <f ca="1">IFERROR(__xludf.DUMMYFUNCTION("""COMPUTED_VALUE"""),"Paris : ALAI, 1989.")</f>
        <v>Paris : ALAI, 1989.</v>
      </c>
      <c r="E67" s="36" t="str">
        <f ca="1">IFERROR(__xludf.DUMMYFUNCTION("""COMPUTED_VALUE"""),"347.78(063) ALAI1988 i 1989")</f>
        <v>347.78(063) ALAI1988 i 1989</v>
      </c>
      <c r="F67" s="38" t="str">
        <f ca="1">IFERROR(__xludf.DUMMYFUNCTION("""COMPUTED_VALUE"""),"Αίθουσα Αστικού και Αστικού Δικονομικού Δικαίου")</f>
        <v>Αίθουσα Αστικού και Αστικού Δικονομικού Δικαίου</v>
      </c>
    </row>
    <row r="68" spans="1:6" ht="51.75" customHeight="1" x14ac:dyDescent="0.25">
      <c r="A68" s="35" t="s">
        <v>4424</v>
      </c>
      <c r="B68" s="36" t="s">
        <v>4413</v>
      </c>
      <c r="C68" s="36" t="str">
        <f ca="1">IFERROR(__xludf.DUMMYFUNCTION("""COMPUTED_VALUE"""),"")</f>
        <v/>
      </c>
      <c r="D68" s="37" t="str">
        <f ca="1">IFERROR(__xludf.DUMMYFUNCTION("""COMPUTED_VALUE"""),"Limoges : Pulim, DL, 2010.")</f>
        <v>Limoges : Pulim, DL, 2010.</v>
      </c>
      <c r="E68" s="36" t="str">
        <f ca="1">IFERROR(__xludf.DUMMYFUNCTION("""COMPUTED_VALUE"""),"343(091)(063) OFF2009 2010")</f>
        <v>343(091)(063) OFF2009 2010</v>
      </c>
      <c r="F68" s="38" t="str">
        <f ca="1">IFERROR(__xludf.DUMMYFUNCTION("""COMPUTED_VALUE"""),"Αίθουσα Ποινικού Δικαίου και Εργατικού Δικαίου")</f>
        <v>Αίθουσα Ποινικού Δικαίου και Εργατικού Δικαίου</v>
      </c>
    </row>
    <row r="69" spans="1:6" ht="51.75" customHeight="1" x14ac:dyDescent="0.25">
      <c r="A69" s="35" t="str">
        <f ca="1">IFERROR(__xludf.DUMMYFUNCTION("""COMPUTED_VALUE"""),"Medicine, patients and the law / Margaret Brazier and Emma Cave.")</f>
        <v>Medicine, patients and the law / Margaret Brazier and Emma Cave.</v>
      </c>
      <c r="B69" s="36" t="str">
        <f ca="1">IFERROR(__xludf.DUMMYFUNCTION("""COMPUTED_VALUE"""),"Brazier, Margaret.")</f>
        <v>Brazier, Margaret.</v>
      </c>
      <c r="C69" s="36" t="str">
        <f ca="1">IFERROR(__xludf.DUMMYFUNCTION("""COMPUTED_VALUE"""),"6th ed.")</f>
        <v>6th ed.</v>
      </c>
      <c r="D69" s="37" t="str">
        <f ca="1">IFERROR(__xludf.DUMMYFUNCTION("""COMPUTED_VALUE"""),"Manchester : Manchester University Press, 2016.")</f>
        <v>Manchester : Manchester University Press, 2016.</v>
      </c>
      <c r="E69" s="36" t="str">
        <f ca="1">IFERROR(__xludf.DUMMYFUNCTION("""COMPUTED_VALUE"""),"34:614 BraM m 2016")</f>
        <v>34:614 BraM m 2016</v>
      </c>
      <c r="F69" s="38" t="str">
        <f ca="1">IFERROR(__xludf.DUMMYFUNCTION("""COMPUTED_VALUE"""),"Αίθουσα Δημοσίου δικαίου")</f>
        <v>Αίθουσα Δημοσίου δικαίου</v>
      </c>
    </row>
    <row r="70" spans="1:6" ht="63.75" customHeight="1" x14ac:dyDescent="0.25">
      <c r="A70" s="35" t="s">
        <v>4425</v>
      </c>
      <c r="B70" s="36" t="str">
        <f ca="1">IFERROR(__xludf.DUMMYFUNCTION("""COMPUTED_VALUE"""),"")</f>
        <v/>
      </c>
      <c r="C70" s="36" t="str">
        <f ca="1">IFERROR(__xludf.DUMMYFUNCTION("""COMPUTED_VALUE"""),"")</f>
        <v/>
      </c>
      <c r="D70" s="37" t="s">
        <v>4426</v>
      </c>
      <c r="E70" s="36" t="str">
        <f ca="1">IFERROR(__xludf.DUMMYFUNCTION("""COMPUTED_VALUE"""),"347.78(063) MLC1973 1974")</f>
        <v>347.78(063) MLC1973 1974</v>
      </c>
      <c r="F70" s="38" t="s">
        <v>26</v>
      </c>
    </row>
    <row r="71" spans="1:6" ht="51.75" customHeight="1" x14ac:dyDescent="0.25">
      <c r="A71" s="35" t="s">
        <v>4427</v>
      </c>
      <c r="B71" s="36" t="s">
        <v>4428</v>
      </c>
      <c r="C71" s="36" t="str">
        <f ca="1">IFERROR(__xludf.DUMMYFUNCTION("""COMPUTED_VALUE"""),"")</f>
        <v/>
      </c>
      <c r="D71" s="37" t="str">
        <f ca="1">IFERROR(__xludf.DUMMYFUNCTION("""COMPUTED_VALUE"""),"Alphen aan den Rijn : Wolters Kluwer,  2016.")</f>
        <v>Alphen aan den Rijn : Wolters Kluwer,  2016.</v>
      </c>
      <c r="E71" s="36" t="str">
        <f ca="1">IFERROR(__xludf.DUMMYFUNCTION("""COMPUTED_VALUE"""),"349.2(4) BlaR n 2016")</f>
        <v>349.2(4) BlaR n 2016</v>
      </c>
      <c r="F71" s="38" t="str">
        <f ca="1">IFERROR(__xludf.DUMMYFUNCTION("""COMPUTED_VALUE"""),"Αίθουσα Ποινικού Δικαίου και Εργατικού Δικαίου")</f>
        <v>Αίθουσα Ποινικού Δικαίου και Εργατικού Δικαίου</v>
      </c>
    </row>
    <row r="72" spans="1:6" ht="51.75" customHeight="1" x14ac:dyDescent="0.25">
      <c r="A72" s="35" t="str">
        <f ca="1">IFERROR(__xludf.DUMMYFUNCTION("""COMPUTED_VALUE"""),"Praxis des internationalen Privat- und Wirtschaftsrechts : Rechtsprobleme multinationaler Unternehmen / Bernhard Grossfeld, unter Mitw. von Cord Joachim Heise.")</f>
        <v>Praxis des internationalen Privat- und Wirtschaftsrechts : Rechtsprobleme multinationaler Unternehmen / Bernhard Grossfeld, unter Mitw. von Cord Joachim Heise.</v>
      </c>
      <c r="B72" s="36" t="str">
        <f ca="1">IFERROR(__xludf.DUMMYFUNCTION("""COMPUTED_VALUE"""),"Grossfeld, Bernhard, 1933-")</f>
        <v>Grossfeld, Bernhard, 1933-</v>
      </c>
      <c r="C72" s="36" t="str">
        <f ca="1">IFERROR(__xludf.DUMMYFUNCTION("""COMPUTED_VALUE"""),"")</f>
        <v/>
      </c>
      <c r="D72" s="37" t="str">
        <f ca="1">IFERROR(__xludf.DUMMYFUNCTION("""COMPUTED_VALUE"""),"Reinbek (bei Hamburg) : Rowohlt, 1975.")</f>
        <v>Reinbek (bei Hamburg) : Rowohlt, 1975.</v>
      </c>
      <c r="E72" s="36" t="str">
        <f ca="1">IFERROR(__xludf.DUMMYFUNCTION("""COMPUTED_VALUE"""),"341.96:347.72 GroB p 1975")</f>
        <v>341.96:347.72 GroB p 1975</v>
      </c>
      <c r="F72" s="38" t="str">
        <f ca="1">IFERROR(__xludf.DUMMYFUNCTION("""COMPUTED_VALUE"""),"Αίθουσα Διεθνούς Δικαίου και Εμπορικού Δικαίου")</f>
        <v>Αίθουσα Διεθνούς Δικαίου και Εμπορικού Δικαίου</v>
      </c>
    </row>
    <row r="73" spans="1:6" ht="51.75" customHeight="1" x14ac:dyDescent="0.25">
      <c r="A73" s="35" t="str">
        <f ca="1">IFERROR(__xludf.DUMMYFUNCTION("""COMPUTED_VALUE"""),"Procéder : pas d'action, pas de droit ou pas de droit, pas d'action? / textes réunis par Jacqueline Hoareau-Dodinau, Guillaume Métairie et Pascal Texier.")</f>
        <v>Procéder : pas d'action, pas de droit ou pas de droit, pas d'action? / textes réunis par Jacqueline Hoareau-Dodinau, Guillaume Métairie et Pascal Texier.</v>
      </c>
      <c r="B73" s="36" t="s">
        <v>4429</v>
      </c>
      <c r="C73" s="36" t="str">
        <f ca="1">IFERROR(__xludf.DUMMYFUNCTION("""COMPUTED_VALUE"""),"")</f>
        <v/>
      </c>
      <c r="D73" s="37" t="str">
        <f ca="1">IFERROR(__xludf.DUMMYFUNCTION("""COMPUTED_VALUE"""),"Limoges : Presses universitaires de Limoges, 2006.")</f>
        <v>Limoges : Presses universitaires de Limoges, 2006.</v>
      </c>
      <c r="E73" s="36" t="str">
        <f ca="1">IFERROR(__xludf.DUMMYFUNCTION("""COMPUTED_VALUE"""),"347.9(091)(063) JHD2005 p [2006]")</f>
        <v>347.9(091)(063) JHD2005 p [2006]</v>
      </c>
      <c r="F73" s="38" t="str">
        <f ca="1">IFERROR(__xludf.DUMMYFUNCTION("""COMPUTED_VALUE"""),"Αίθουσα Αστικού και Αστικού Δικονομικού Δίκαίου")</f>
        <v>Αίθουσα Αστικού και Αστικού Δικονομικού Δίκαίου</v>
      </c>
    </row>
    <row r="74" spans="1:6" ht="51.75" customHeight="1" x14ac:dyDescent="0.25">
      <c r="A74" s="35" t="s">
        <v>4430</v>
      </c>
      <c r="B74" s="36" t="s">
        <v>4428</v>
      </c>
      <c r="C74" s="36" t="str">
        <f ca="1">IFERROR(__xludf.DUMMYFUNCTION("""COMPUTED_VALUE"""),"")</f>
        <v/>
      </c>
      <c r="D74" s="37" t="str">
        <f ca="1">IFERROR(__xludf.DUMMYFUNCTION("""COMPUTED_VALUE"""),"Alpen aan den Rijn : Kluwer Law International,  2014.")</f>
        <v>Alpen aan den Rijn : Kluwer Law International,  2014.</v>
      </c>
      <c r="E74" s="36" t="str">
        <f ca="1">IFERROR(__xludf.DUMMYFUNCTION("""COMPUTED_VALUE"""),"349.23 BlaR p 2014")</f>
        <v>349.23 BlaR p 2014</v>
      </c>
      <c r="F74" s="38" t="str">
        <f ca="1">IFERROR(__xludf.DUMMYFUNCTION("""COMPUTED_VALUE"""),"Αίθουσα Ποινικού Δικαίου και Εργατικού Δικαίου")</f>
        <v>Αίθουσα Ποινικού Δικαίου και Εργατικού Δικαίου</v>
      </c>
    </row>
    <row r="75" spans="1:6" ht="51.75" customHeight="1" x14ac:dyDescent="0.25">
      <c r="A75" s="35" t="str">
        <f ca="1">IFERROR(__xludf.DUMMYFUNCTION("""COMPUTED_VALUE"""),"Rechtstatsachenforschung im Übergang : Bestandsaufnahme zurempirischen Rechtssoziologie in der Bundesrepublik Deutschland / Oskar Hartwieg.")</f>
        <v>Rechtstatsachenforschung im Übergang : Bestandsaufnahme zurempirischen Rechtssoziologie in der Bundesrepublik Deutschland / Oskar Hartwieg.</v>
      </c>
      <c r="B75" s="36" t="str">
        <f ca="1">IFERROR(__xludf.DUMMYFUNCTION("""COMPUTED_VALUE"""),"Hartwieg, Oskar.")</f>
        <v>Hartwieg, Oskar.</v>
      </c>
      <c r="C75" s="36" t="str">
        <f ca="1">IFERROR(__xludf.DUMMYFUNCTION("""COMPUTED_VALUE"""),"")</f>
        <v/>
      </c>
      <c r="D75" s="37" t="str">
        <f ca="1">IFERROR(__xludf.DUMMYFUNCTION("""COMPUTED_VALUE"""),"Göttingen : Vandenhoeck und Ruprecht, 1975.")</f>
        <v>Göttingen : Vandenhoeck und Ruprecht, 1975.</v>
      </c>
      <c r="E75" s="36" t="str">
        <f ca="1">IFERROR(__xludf.DUMMYFUNCTION("""COMPUTED_VALUE"""),"316.334.4(430)(03) HarO r 1975")</f>
        <v>316.334.4(430)(03) HarO r 1975</v>
      </c>
      <c r="F75" s="38" t="str">
        <f ca="1">IFERROR(__xludf.DUMMYFUNCTION("""COMPUTED_VALUE"""),"Αίθουσα Ιστορίας, Θεωρίας και Φιλοσοφίας του Δικαίου")</f>
        <v>Αίθουσα Ιστορίας, Θεωρίας και Φιλοσοφίας του Δικαίου</v>
      </c>
    </row>
    <row r="76" spans="1:6" ht="51.75" customHeight="1" x14ac:dyDescent="0.25">
      <c r="A76" s="35" t="s">
        <v>4431</v>
      </c>
      <c r="B76" s="36" t="s">
        <v>4432</v>
      </c>
      <c r="C76" s="36" t="str">
        <f ca="1">IFERROR(__xludf.DUMMYFUNCTION("""COMPUTED_VALUE"""),"2. Aufl.")</f>
        <v>2. Aufl.</v>
      </c>
      <c r="D76" s="37" t="str">
        <f ca="1">IFERROR(__xludf.DUMMYFUNCTION("""COMPUTED_VALUE"""),"Köln : Bundesanzeiger Verlagsgesellschaft, 1978.")</f>
        <v>Köln : Bundesanzeiger Verlagsgesellschaft, 1978.</v>
      </c>
      <c r="E76" s="36" t="str">
        <f ca="1">IFERROR(__xludf.DUMMYFUNCTION("""COMPUTED_VALUE"""),"34(430)(01) HarO r 1978")</f>
        <v>34(430)(01) HarO r 1978</v>
      </c>
      <c r="F76" s="38" t="str">
        <f ca="1">IFERROR(__xludf.DUMMYFUNCTION("""COMPUTED_VALUE"""),"Αίθουσα Ιστορίας, Φιλοσοφίας και Θεωρίας του Δικαίου")</f>
        <v>Αίθουσα Ιστορίας, Φιλοσοφίας και Θεωρίας του Δικαίου</v>
      </c>
    </row>
    <row r="77" spans="1:6" ht="51.75" customHeight="1" x14ac:dyDescent="0.25">
      <c r="A77" s="35" t="str">
        <f ca="1">IFERROR(__xludf.DUMMYFUNCTION("""COMPUTED_VALUE"""),"Rechtstheorie : Begriff, Geltung und Anwendung des Rechts / von Bernd Rüthers, unter Mitarbeit von Axel Birk.")</f>
        <v>Rechtstheorie : Begriff, Geltung und Anwendung des Rechts / von Bernd Rüthers, unter Mitarbeit von Axel Birk.</v>
      </c>
      <c r="B77" s="36" t="str">
        <f ca="1">IFERROR(__xludf.DUMMYFUNCTION("""COMPUTED_VALUE"""),"Rüthers, Bernd.")</f>
        <v>Rüthers, Bernd.</v>
      </c>
      <c r="C77" s="36" t="str">
        <f ca="1">IFERROR(__xludf.DUMMYFUNCTION("""COMPUTED_VALUE"""),"4., ubearbeitete Aufl.")</f>
        <v>4., ubearbeitete Aufl.</v>
      </c>
      <c r="D77" s="37" t="str">
        <f ca="1">IFERROR(__xludf.DUMMYFUNCTION("""COMPUTED_VALUE"""),"München : C.H. Beck, 2008.")</f>
        <v>München : C.H. Beck, 2008.</v>
      </c>
      <c r="E77" s="36" t="str">
        <f ca="1">IFERROR(__xludf.DUMMYFUNCTION("""COMPUTED_VALUE"""),"340.12 RutB r 2008")</f>
        <v>340.12 RutB r 2008</v>
      </c>
      <c r="F77" s="38" t="str">
        <f ca="1">IFERROR(__xludf.DUMMYFUNCTION("""COMPUTED_VALUE"""),"Αίθουσα Ιστορίας, Θεωρίας και Φιλοσοφίας του Δικαίου")</f>
        <v>Αίθουσα Ιστορίας, Θεωρίας και Φιλοσοφίας του Δικαίου</v>
      </c>
    </row>
    <row r="78" spans="1:6" ht="51.75" customHeight="1" x14ac:dyDescent="0.25">
      <c r="A78" s="35" t="str">
        <f ca="1">IFERROR(__xludf.DUMMYFUNCTION("""COMPUTED_VALUE"""),"Rechtsvergleichung. English;""Comparative law / by Uwe Kischel   translated by Andrew Hammel.""")</f>
        <v>Rechtsvergleichung. English;"Comparative law / by Uwe Kischel   translated by Andrew Hammel."</v>
      </c>
      <c r="B78" s="36" t="str">
        <f ca="1">IFERROR(__xludf.DUMMYFUNCTION("""COMPUTED_VALUE"""),"Kischel, Uwe.")</f>
        <v>Kischel, Uwe.</v>
      </c>
      <c r="C78" s="36" t="str">
        <f ca="1">IFERROR(__xludf.DUMMYFUNCTION("""COMPUTED_VALUE"""),"")</f>
        <v/>
      </c>
      <c r="D78" s="37" t="str">
        <f ca="1">IFERROR(__xludf.DUMMYFUNCTION("""COMPUTED_VALUE"""),"Oxford, United Kingdom : Oxford University Press, 2019.")</f>
        <v>Oxford, United Kingdom : Oxford University Press, 2019.</v>
      </c>
      <c r="E78" s="36" t="str">
        <f ca="1">IFERROR(__xludf.DUMMYFUNCTION("""COMPUTED_VALUE"""),"340.5 KisU r/c 2019")</f>
        <v>340.5 KisU r/c 2019</v>
      </c>
      <c r="F78" s="38" t="str">
        <f ca="1">IFERROR(__xludf.DUMMYFUNCTION("""COMPUTED_VALUE"""),"Αίθουσα Διεθνούς Δικαίου και Εμπορικού Δικαίου")</f>
        <v>Αίθουσα Διεθνούς Δικαίου και Εμπορικού Δικαίου</v>
      </c>
    </row>
    <row r="79" spans="1:6" ht="51.75" customHeight="1" x14ac:dyDescent="0.25">
      <c r="A79" s="35" t="str">
        <f ca="1">IFERROR(__xludf.DUMMYFUNCTION("""COMPUTED_VALUE"""),"Résolution des conflits : jalons pour une anthropologie historique du droit / textes réunis par Jacqueline Hoareau-Dodinau et Pascal Texier.")</f>
        <v>Résolution des conflits : jalons pour une anthropologie historique du droit / textes réunis par Jacqueline Hoareau-Dodinau et Pascal Texier.</v>
      </c>
      <c r="B79" s="36" t="str">
        <f ca="1">IFERROR(__xludf.DUMMYFUNCTION("""COMPUTED_VALUE"""),"Journées d'Histoire du Droit (21st : 2001 : Limoges, France)")</f>
        <v>Journées d'Histoire du Droit (21st : 2001 : Limoges, France)</v>
      </c>
      <c r="C79" s="36" t="str">
        <f ca="1">IFERROR(__xludf.DUMMYFUNCTION("""COMPUTED_VALUE"""),"")</f>
        <v/>
      </c>
      <c r="D79" s="37" t="str">
        <f ca="1">IFERROR(__xludf.DUMMYFUNCTION("""COMPUTED_VALUE"""),"Limoges : Pulim, [2003]")</f>
        <v>Limoges : Pulim, [2003]</v>
      </c>
      <c r="E79" s="36" t="str">
        <f ca="1">IFERROR(__xludf.DUMMYFUNCTION("""COMPUTED_VALUE"""),"34(44)(091)(063) JHD2001 r 2003")</f>
        <v>34(44)(091)(063) JHD2001 r 2003</v>
      </c>
      <c r="F79" s="38" t="str">
        <f ca="1">IFERROR(__xludf.DUMMYFUNCTION("""COMPUTED_VALUE"""),"Αίθουσα Ιστορίας, Θεωρίας και Φιλοσοφίας του Δικαίου")</f>
        <v>Αίθουσα Ιστορίας, Θεωρίας και Φιλοσοφίας του Δικαίου</v>
      </c>
    </row>
    <row r="80" spans="1:6" ht="51.75" customHeight="1" x14ac:dyDescent="0.25">
      <c r="A80" s="35" t="str">
        <f ca="1">IFERROR(__xludf.DUMMYFUNCTION("""COMPUTED_VALUE"""),"Retour du Brésil : impressions d'un juriste anthropologue français / Norbert Rouland.")</f>
        <v>Retour du Brésil : impressions d'un juriste anthropologue français / Norbert Rouland.</v>
      </c>
      <c r="B80" s="36" t="str">
        <f ca="1">IFERROR(__xludf.DUMMYFUNCTION("""COMPUTED_VALUE"""),"Rouland, Norbert.")</f>
        <v>Rouland, Norbert.</v>
      </c>
      <c r="C80" s="36" t="str">
        <f ca="1">IFERROR(__xludf.DUMMYFUNCTION("""COMPUTED_VALUE"""),"")</f>
        <v/>
      </c>
      <c r="D80" s="37" t="str">
        <f ca="1">IFERROR(__xludf.DUMMYFUNCTION("""COMPUTED_VALUE"""),"Paris : L'Harmattan, 2018.")</f>
        <v>Paris : L'Harmattan, 2018.</v>
      </c>
      <c r="E80" s="36" t="str">
        <f ca="1">IFERROR(__xludf.DUMMYFUNCTION("""COMPUTED_VALUE"""),"34:39 RouN r 2018")</f>
        <v>34:39 RouN r 2018</v>
      </c>
      <c r="F80" s="38" t="str">
        <f ca="1">IFERROR(__xludf.DUMMYFUNCTION("""COMPUTED_VALUE"""),"Αίθουσα Διεθνούς Δικαίου και Εμπορικού Δικαίου")</f>
        <v>Αίθουσα Διεθνούς Δικαίου και Εμπορικού Δικαίου</v>
      </c>
    </row>
    <row r="81" spans="1:6" ht="79.5" customHeight="1" x14ac:dyDescent="0.25">
      <c r="A81" s="35" t="s">
        <v>4433</v>
      </c>
      <c r="B81" s="36" t="str">
        <f ca="1">IFERROR(__xludf.DUMMYFUNCTION("""COMPUTED_VALUE"""),"Symposium on Intellectual Property, University and Industry in Latin America (1992 : Universidad de Costa Rica)")</f>
        <v>Symposium on Intellectual Property, University and Industry in Latin America (1992 : Universidad de Costa Rica)</v>
      </c>
      <c r="C81" s="36" t="str">
        <f ca="1">IFERROR(__xludf.DUMMYFUNCTION("""COMPUTED_VALUE"""),"")</f>
        <v/>
      </c>
      <c r="D81" s="37" t="str">
        <f ca="1">IFERROR(__xludf.DUMMYFUNCTION("""COMPUTED_VALUE"""),"[San José, Costa Rica] : World Intellectual property Organization, 1992.")</f>
        <v>[San José, Costa Rica] : World Intellectual property Organization, 1992.</v>
      </c>
      <c r="E81" s="36" t="str">
        <f ca="1">IFERROR(__xludf.DUMMYFUNCTION("""COMPUTED_VALUE"""),"347.78(063) SIP1990 1992")</f>
        <v>347.78(063) SIP1990 1992</v>
      </c>
      <c r="F81" s="38" t="str">
        <f ca="1">IFERROR(__xludf.DUMMYFUNCTION("""COMPUTED_VALUE"""),"Αίθουσα Αστικού και Αστικού Δικονομικού Δικαίου")</f>
        <v>Αίθουσα Αστικού και Αστικού Δικονομικού Δικαίου</v>
      </c>
    </row>
    <row r="82" spans="1:6" ht="51.75" customHeight="1" x14ac:dyDescent="0.25">
      <c r="A82" s="35" t="s">
        <v>4434</v>
      </c>
      <c r="B82" s="36" t="s">
        <v>4428</v>
      </c>
      <c r="C82" s="36" t="str">
        <f ca="1">IFERROR(__xludf.DUMMYFUNCTION("""COMPUTED_VALUE"""),"")</f>
        <v/>
      </c>
      <c r="D82" s="37" t="str">
        <f ca="1">IFERROR(__xludf.DUMMYFUNCTION("""COMPUTED_VALUE"""),"Alphen aan den Rijn : Wolters Kluwer,  2013.")</f>
        <v>Alphen aan den Rijn : Wolters Kluwer,  2013.</v>
      </c>
      <c r="E82" s="36" t="str">
        <f ca="1">IFERROR(__xludf.DUMMYFUNCTION("""COMPUTED_VALUE"""),"349.2(4-672EU) BlaR t 2013")</f>
        <v>349.2(4-672EU) BlaR t 2013</v>
      </c>
      <c r="F82" s="38" t="str">
        <f ca="1">IFERROR(__xludf.DUMMYFUNCTION("""COMPUTED_VALUE"""),"Αίθουσα Ποινικού Δικαίου και Εργατικού Δικαίου")</f>
        <v>Αίθουσα Ποινικού Δικαίου και Εργατικού Δικαίου</v>
      </c>
    </row>
    <row r="83" spans="1:6" ht="51.75" customHeight="1" x14ac:dyDescent="0.25">
      <c r="A83" s="35" t="s">
        <v>4435</v>
      </c>
      <c r="B83" s="36" t="str">
        <f ca="1">IFERROR(__xludf.DUMMYFUNCTION("""COMPUTED_VALUE"""),"")</f>
        <v/>
      </c>
      <c r="C83" s="36" t="str">
        <f ca="1">IFERROR(__xludf.DUMMYFUNCTION("""COMPUTED_VALUE"""),"")</f>
        <v/>
      </c>
      <c r="D83" s="37" t="str">
        <f ca="1">IFERROR(__xludf.DUMMYFUNCTION("""COMPUTED_VALUE"""),"Washington : U.S. Government printing office, 1976.")</f>
        <v>Washington : U.S. Government printing office, 1976.</v>
      </c>
      <c r="E83" s="36" t="str">
        <f ca="1">IFERROR(__xludf.DUMMYFUNCTION("""COMPUTED_VALUE"""),"342.4(73) CUS 1976")</f>
        <v>342.4(73) CUS 1976</v>
      </c>
      <c r="F83" s="38" t="str">
        <f ca="1">IFERROR(__xludf.DUMMYFUNCTION("""COMPUTED_VALUE"""),"Αίθουσα Δημοσίου Δικαίου")</f>
        <v>Αίθουσα Δημοσίου Δικαίου</v>
      </c>
    </row>
    <row r="84" spans="1:6" ht="51.75" customHeight="1" x14ac:dyDescent="0.25">
      <c r="A84" s="35" t="str">
        <f ca="1">IFERROR(__xludf.DUMMYFUNCTION("""COMPUTED_VALUE"""),"The EU general data protection regulation (GDPR) : a practical guide / Paul Voigt and Axel von dem Busshe.")</f>
        <v>The EU general data protection regulation (GDPR) : a practical guide / Paul Voigt and Axel von dem Busshe.</v>
      </c>
      <c r="B84" s="36" t="str">
        <f ca="1">IFERROR(__xludf.DUMMYFUNCTION("""COMPUTED_VALUE"""),"Voight, Paul")</f>
        <v>Voight, Paul</v>
      </c>
      <c r="C84" s="36" t="str">
        <f ca="1">IFERROR(__xludf.DUMMYFUNCTION("""COMPUTED_VALUE"""),"")</f>
        <v/>
      </c>
      <c r="D84" s="37" t="str">
        <f ca="1">IFERROR(__xludf.DUMMYFUNCTION("""COMPUTED_VALUE"""),"New York, NY : Springer, c2017.")</f>
        <v>New York, NY : Springer, c2017.</v>
      </c>
      <c r="E84" s="36" t="str">
        <f ca="1">IFERROR(__xludf.DUMMYFUNCTION("""COMPUTED_VALUE"""),"342.721(4-672EU) VoiP e 2017")</f>
        <v>342.721(4-672EU) VoiP e 2017</v>
      </c>
      <c r="F84" s="38" t="str">
        <f ca="1">IFERROR(__xludf.DUMMYFUNCTION("""COMPUTED_VALUE"""),"Αίθουσα Δημοσίου Δικαίου")</f>
        <v>Αίθουσα Δημοσίου Δικαίου</v>
      </c>
    </row>
    <row r="85" spans="1:6" ht="51.75" customHeight="1" x14ac:dyDescent="0.25">
      <c r="A85" s="35" t="s">
        <v>4436</v>
      </c>
      <c r="B85" s="36" t="s">
        <v>4437</v>
      </c>
      <c r="C85" s="36" t="str">
        <f ca="1">IFERROR(__xludf.DUMMYFUNCTION("""COMPUTED_VALUE"""),"")</f>
        <v/>
      </c>
      <c r="D85" s="37" t="str">
        <f ca="1">IFERROR(__xludf.DUMMYFUNCTION("""COMPUTED_VALUE"""),"Oxford   New York : Oxford University Press, 2018.")</f>
        <v>Oxford   New York : Oxford University Press, 2018.</v>
      </c>
      <c r="E85" s="36" t="str">
        <f ca="1">IFERROR(__xludf.DUMMYFUNCTION("""COMPUTED_VALUE"""),"34(091) DubM o 2018")</f>
        <v>34(091) DubM o 2018</v>
      </c>
      <c r="F85" s="38" t="str">
        <f ca="1">IFERROR(__xludf.DUMMYFUNCTION("""COMPUTED_VALUE"""),"Αίθουσα Ιστορίας, Θεωρίας και Φιλοσοφίας του Δικαίου")</f>
        <v>Αίθουσα Ιστορίας, Θεωρίας και Φιλοσοφίας του Δικαίου</v>
      </c>
    </row>
    <row r="86" spans="1:6" ht="51.75" customHeight="1" x14ac:dyDescent="0.25">
      <c r="A86" s="35" t="s">
        <v>4438</v>
      </c>
      <c r="B86" s="36" t="s">
        <v>4439</v>
      </c>
      <c r="C86" s="36" t="str">
        <f ca="1">IFERROR(__xludf.DUMMYFUNCTION("""COMPUTED_VALUE"""),"")</f>
        <v/>
      </c>
      <c r="D86" s="37" t="str">
        <f ca="1">IFERROR(__xludf.DUMMYFUNCTION("""COMPUTED_VALUE"""),"Darmstadt : Wissenschaftliche Buchgesellschaft, 1972.")</f>
        <v>Darmstadt : Wissenschaftliche Buchgesellschaft, 1972.</v>
      </c>
      <c r="E86" s="36" t="str">
        <f ca="1">IFERROR(__xludf.DUMMYFUNCTION("""COMPUTED_VALUE"""),"334.75 BarH t 1972")</f>
        <v>334.75 BarH t 1972</v>
      </c>
      <c r="F86" s="38" t="str">
        <f ca="1">IFERROR(__xludf.DUMMYFUNCTION("""COMPUTED_VALUE"""),"Αίθουσα Διεθνούς Δικαίου και Εμπορικού Δικαίου")</f>
        <v>Αίθουσα Διεθνούς Δικαίου και Εμπορικού Δικαίου</v>
      </c>
    </row>
    <row r="87" spans="1:6" ht="51.75" customHeight="1" x14ac:dyDescent="0.25">
      <c r="A87" s="35" t="str">
        <f ca="1">IFERROR(__xludf.DUMMYFUNCTION("""COMPUTED_VALUE"""),"Through the codes darkly : slave law and civil law in Louisiana / Vernon Valentine Palmer.")</f>
        <v>Through the codes darkly : slave law and civil law in Louisiana / Vernon Valentine Palmer.</v>
      </c>
      <c r="B87" s="36" t="str">
        <f ca="1">IFERROR(__xludf.DUMMYFUNCTION("""COMPUTED_VALUE"""),"Palmer, Vernon V.")</f>
        <v>Palmer, Vernon V.</v>
      </c>
      <c r="C87" s="36" t="str">
        <f ca="1">IFERROR(__xludf.DUMMYFUNCTION("""COMPUTED_VALUE"""),"")</f>
        <v/>
      </c>
      <c r="D87" s="37" t="str">
        <f ca="1">IFERROR(__xludf.DUMMYFUNCTION("""COMPUTED_VALUE"""),"Clark : The Lawbook Exchange, c2012.")</f>
        <v>Clark : The Lawbook Exchange, c2012.</v>
      </c>
      <c r="E87" s="36" t="str">
        <f ca="1">IFERROR(__xludf.DUMMYFUNCTION("""COMPUTED_VALUE"""),"343.431(091) PalV t 2012")</f>
        <v>343.431(091) PalV t 2012</v>
      </c>
      <c r="F87" s="38" t="str">
        <f ca="1">IFERROR(__xludf.DUMMYFUNCTION("""COMPUTED_VALUE"""),"Αίθουσα Ιστορίας, Θεωρίας και Φιλοσοφίας του Δικαίου")</f>
        <v>Αίθουσα Ιστορίας, Θεωρίας και Φιλοσοφίας του Δικαίου</v>
      </c>
    </row>
    <row r="88" spans="1:6" ht="51.75" customHeight="1" x14ac:dyDescent="0.25">
      <c r="A88" s="35" t="str">
        <f ca="1">IFERROR(__xludf.DUMMYFUNCTION("""COMPUTED_VALUE"""),"Übertragbarkeit und Teilübertragung urheberrechtlicher Befugnisse : ein Beitrag zu den Rechten im Rechtsverkehr / Herbert Lessmann.")</f>
        <v>Übertragbarkeit und Teilübertragung urheberrechtlicher Befugnisse : ein Beitrag zu den Rechten im Rechtsverkehr / Herbert Lessmann.</v>
      </c>
      <c r="B88" s="36" t="str">
        <f ca="1">IFERROR(__xludf.DUMMYFUNCTION("""COMPUTED_VALUE"""),"Lessmann, Herbert, 1935-")</f>
        <v>Lessmann, Herbert, 1935-</v>
      </c>
      <c r="C88" s="36" t="str">
        <f ca="1">IFERROR(__xludf.DUMMYFUNCTION("""COMPUTED_VALUE"""),"")</f>
        <v/>
      </c>
      <c r="D88" s="37" t="str">
        <f ca="1">IFERROR(__xludf.DUMMYFUNCTION("""COMPUTED_VALUE"""),"[Münster], 1967.")</f>
        <v>[Münster], 1967.</v>
      </c>
      <c r="E88" s="36" t="str">
        <f ca="1">IFERROR(__xludf.DUMMYFUNCTION("""COMPUTED_VALUE"""),"347.78 LesH u 1967")</f>
        <v>347.78 LesH u 1967</v>
      </c>
      <c r="F88" s="38" t="str">
        <f ca="1">IFERROR(__xludf.DUMMYFUNCTION("""COMPUTED_VALUE"""),"Αίθουσα Αστικού και Αστικού Δικονομικού Δικαίου")</f>
        <v>Αίθουσα Αστικού και Αστικού Δικονομικού Δικαίου</v>
      </c>
    </row>
    <row r="89" spans="1:6" ht="51.75" customHeight="1" x14ac:dyDescent="0.25">
      <c r="A89" s="35" t="s">
        <v>4440</v>
      </c>
      <c r="B89" s="36" t="s">
        <v>4441</v>
      </c>
      <c r="C89" s="36" t="str">
        <f ca="1">IFERROR(__xludf.DUMMYFUNCTION("""COMPUTED_VALUE"""),"")</f>
        <v/>
      </c>
      <c r="D89" s="37" t="str">
        <f ca="1">IFERROR(__xludf.DUMMYFUNCTION("""COMPUTED_VALUE"""),"Tübingen : Mohr, 1983.")</f>
        <v>Tübingen : Mohr, 1983.</v>
      </c>
      <c r="E89" s="36" t="str">
        <f ca="1">IFERROR(__xludf.DUMMYFUNCTION("""COMPUTED_VALUE"""),"347.6(4-672EU) DopP u 1983")</f>
        <v>347.6(4-672EU) DopP u 1983</v>
      </c>
      <c r="F89" s="38" t="str">
        <f ca="1">IFERROR(__xludf.DUMMYFUNCTION("""COMPUTED_VALUE"""),"Αίθουσα Αστικού και Αστικού Δικονομικού Δικαίου")</f>
        <v>Αίθουσα Αστικού και Αστικού Δικονομικού Δικαίου</v>
      </c>
    </row>
    <row r="90" spans="1:6" ht="51.75" customHeight="1" x14ac:dyDescent="0.25">
      <c r="A90" s="35" t="s">
        <v>4442</v>
      </c>
      <c r="B90" s="36" t="s">
        <v>4443</v>
      </c>
      <c r="C90" s="36" t="str">
        <f ca="1">IFERROR(__xludf.DUMMYFUNCTION("""COMPUTED_VALUE"""),"")</f>
        <v/>
      </c>
      <c r="D90" s="37" t="str">
        <f ca="1">IFERROR(__xludf.DUMMYFUNCTION("""COMPUTED_VALUE"""),"Munchen : Beck, 1995.")</f>
        <v>Munchen : Beck, 1995.</v>
      </c>
      <c r="E90" s="36" t="str">
        <f ca="1">IFERROR(__xludf.DUMMYFUNCTION("""COMPUTED_VALUE"""),"34(082.2) SchG u 1995")</f>
        <v>34(082.2) SchG u 1995</v>
      </c>
      <c r="F90" s="38" t="str">
        <f ca="1">IFERROR(__xludf.DUMMYFUNCTION("""COMPUTED_VALUE"""),"Αίθουσα τιμητικών τόμων")</f>
        <v>Αίθουσα τιμητικών τόμων</v>
      </c>
    </row>
    <row r="91" spans="1:6" ht="51.75" customHeight="1" x14ac:dyDescent="0.25">
      <c r="A91" s="35" t="str">
        <f ca="1">IFERROR(__xludf.DUMMYFUNCTION("""COMPUTED_VALUE"""),"Verbraucherprivatrecht / von Peter Bülow und Markus Artz.")</f>
        <v>Verbraucherprivatrecht / von Peter Bülow und Markus Artz.</v>
      </c>
      <c r="B91" s="36" t="str">
        <f ca="1">IFERROR(__xludf.DUMMYFUNCTION("""COMPUTED_VALUE"""),"Bülow, Peter.")</f>
        <v>Bülow, Peter.</v>
      </c>
      <c r="C91" s="36" t="str">
        <f ca="1">IFERROR(__xludf.DUMMYFUNCTION("""COMPUTED_VALUE"""),"5., völlig neu bearbeit. Aufl.")</f>
        <v>5., völlig neu bearbeit. Aufl.</v>
      </c>
      <c r="D91" s="37" t="str">
        <f ca="1">IFERROR(__xludf.DUMMYFUNCTION("""COMPUTED_VALUE"""),"Heidelberg : Müller, c2016.")</f>
        <v>Heidelberg : Müller, c2016.</v>
      </c>
      <c r="E91" s="36" t="str">
        <f ca="1">IFERROR(__xludf.DUMMYFUNCTION("""COMPUTED_VALUE"""),"347:366.5 BulP v 2016")</f>
        <v>347:366.5 BulP v 2016</v>
      </c>
      <c r="F91" s="38" t="str">
        <f ca="1">IFERROR(__xludf.DUMMYFUNCTION("""COMPUTED_VALUE"""),"Αίθουσα Αστικού και Αστικού Δικονομικού Δικαίου")</f>
        <v>Αίθουσα Αστικού και Αστικού Δικονομικού Δικαίου</v>
      </c>
    </row>
    <row r="92" spans="1:6" ht="51.75" customHeight="1" x14ac:dyDescent="0.25">
      <c r="A92" s="35" t="s">
        <v>4444</v>
      </c>
      <c r="B92" s="36" t="s">
        <v>4445</v>
      </c>
      <c r="C92" s="36" t="str">
        <f ca="1">IFERROR(__xludf.DUMMYFUNCTION("""COMPUTED_VALUE"""),"")</f>
        <v/>
      </c>
      <c r="D92" s="37" t="str">
        <f ca="1">IFERROR(__xludf.DUMMYFUNCTION("""COMPUTED_VALUE"""),"Darmstadt : Wissenschaftliche Buchgesellschaft, 1976.")</f>
        <v>Darmstadt : Wissenschaftliche Buchgesellschaft, 1976.</v>
      </c>
      <c r="E92" s="36" t="str">
        <f ca="1">IFERROR(__xludf.DUMMYFUNCTION("""COMPUTED_VALUE"""),"351.95 HabP v 1976")</f>
        <v>351.95 HabP v 1976</v>
      </c>
      <c r="F92" s="38" t="str">
        <f ca="1">IFERROR(__xludf.DUMMYFUNCTION("""COMPUTED_VALUE"""),"Αίθουσα Δημοσίου Δικαίου")</f>
        <v>Αίθουσα Δημοσίου Δικαίου</v>
      </c>
    </row>
    <row r="93" spans="1:6" ht="51.75" customHeight="1" x14ac:dyDescent="0.25">
      <c r="A93" s="35" t="s">
        <v>4446</v>
      </c>
      <c r="B93" s="36" t="str">
        <f ca="1">IFERROR(__xludf.DUMMYFUNCTION("""COMPUTED_VALUE"""),"")</f>
        <v/>
      </c>
      <c r="C93" s="36" t="str">
        <f ca="1">IFERROR(__xludf.DUMMYFUNCTION("""COMPUTED_VALUE"""),"")</f>
        <v/>
      </c>
      <c r="D93" s="37" t="str">
        <f ca="1">IFERROR(__xludf.DUMMYFUNCTION("""COMPUTED_VALUE"""),"Wien : WIPO.GENF, 1979.")</f>
        <v>Wien : WIPO.GENF, 1979.</v>
      </c>
      <c r="E93" s="36" t="str">
        <f ca="1">IFERROR(__xludf.DUMMYFUNCTION("""COMPUTED_VALUE"""),"347.773(430) WAS 1979")</f>
        <v>347.773(430) WAS 1979</v>
      </c>
      <c r="F93" s="38" t="str">
        <f ca="1">IFERROR(__xludf.DUMMYFUNCTION("""COMPUTED_VALUE"""),"Αίθουσα Αστικού και Αστικού Δικονομικού Δικαίου")</f>
        <v>Αίθουσα Αστικού και Αστικού Δικονομικού Δικαίου</v>
      </c>
    </row>
    <row r="94" spans="1:6" ht="51.75" customHeight="1" x14ac:dyDescent="0.25">
      <c r="A94" s="35" t="s">
        <v>4447</v>
      </c>
      <c r="B94" s="36" t="s">
        <v>4448</v>
      </c>
      <c r="C94" s="36" t="str">
        <f ca="1">IFERROR(__xludf.DUMMYFUNCTION("""COMPUTED_VALUE"""),"35. überarbeitete Aufl.")</f>
        <v>35. überarbeitete Aufl.</v>
      </c>
      <c r="D94" s="37" t="s">
        <v>4449</v>
      </c>
      <c r="E94" s="36" t="str">
        <f ca="1">IFERROR(__xludf.DUMMYFUNCTION("""COMPUTED_VALUE"""),"347.9(430) ΚΩΔ GotP z 2002")</f>
        <v>347.9(430) ΚΩΔ GotP z 2002</v>
      </c>
      <c r="F94" s="38" t="str">
        <f ca="1">IFERROR(__xludf.DUMMYFUNCTION("""COMPUTED_VALUE"""),"Αίθουσα Αστικού και Αστικού Δικονομικού Δικαίου")</f>
        <v>Αίθουσα Αστικού και Αστικού Δικονομικού Δικαίου</v>
      </c>
    </row>
    <row r="95" spans="1:6" ht="51.75" customHeight="1" x14ac:dyDescent="0.25">
      <c r="A95" s="35" t="str">
        <f ca="1">IFERROR(__xludf.DUMMYFUNCTION("""COMPUTED_VALUE"""),"Αμοιβαί μηχανικών : ερμηνεία-νομολογία / Κων. Α. Παπαδογεωργόπουλου.")</f>
        <v>Αμοιβαί μηχανικών : ερμηνεία-νομολογία / Κων. Α. Παπαδογεωργόπουλου.</v>
      </c>
      <c r="B95" s="36" t="str">
        <f ca="1">IFERROR(__xludf.DUMMYFUNCTION("""COMPUTED_VALUE"""),"Παπαδογεωργόπουλος, Κωνσταντίνος Α.")</f>
        <v>Παπαδογεωργόπουλος, Κωνσταντίνος Α.</v>
      </c>
      <c r="C95" s="36" t="str">
        <f ca="1">IFERROR(__xludf.DUMMYFUNCTION("""COMPUTED_VALUE"""),"")</f>
        <v/>
      </c>
      <c r="D95" s="37" t="str">
        <f ca="1">IFERROR(__xludf.DUMMYFUNCTION("""COMPUTED_VALUE"""),"Αθήναι : [χ.ό.], 1980.")</f>
        <v>Αθήναι : [χ.ό.], 1980.</v>
      </c>
      <c r="E95" s="36" t="str">
        <f ca="1">IFERROR(__xludf.DUMMYFUNCTION("""COMPUTED_VALUE"""),"351.712 ΠαπΚ α 1980")</f>
        <v>351.712 ΠαπΚ α 1980</v>
      </c>
      <c r="F95" s="38" t="str">
        <f ca="1">IFERROR(__xludf.DUMMYFUNCTION("""COMPUTED_VALUE"""),"Αίθουσα Δημοσίου Δικαίου")</f>
        <v>Αίθουσα Δημοσίου Δικαίου</v>
      </c>
    </row>
    <row r="96" spans="1:6" ht="51.75" customHeight="1" x14ac:dyDescent="0.25">
      <c r="A96" s="35" t="str">
        <f ca="1">IFERROR(__xludf.DUMMYFUNCTION("""COMPUTED_VALUE"""),"Δίκαιο κοινωνικής ασφάλισης / Πατρίνα Παπαρρηγοπούλου-Πεχλιβανίδη.")</f>
        <v>Δίκαιο κοινωνικής ασφάλισης / Πατρίνα Παπαρρηγοπούλου-Πεχλιβανίδη.</v>
      </c>
      <c r="B96" s="36" t="str">
        <f ca="1">IFERROR(__xludf.DUMMYFUNCTION("""COMPUTED_VALUE"""),"Παπαρρηγοπούλου-Πεχλιβανίδη, Πατρίνα, 1962-")</f>
        <v>Παπαρρηγοπούλου-Πεχλιβανίδη, Πατρίνα, 1962-</v>
      </c>
      <c r="C96" s="36" t="str">
        <f ca="1">IFERROR(__xludf.DUMMYFUNCTION("""COMPUTED_VALUE"""),"3η έκδ.")</f>
        <v>3η έκδ.</v>
      </c>
      <c r="D96" s="37" t="str">
        <f ca="1">IFERROR(__xludf.DUMMYFUNCTION("""COMPUTED_VALUE"""),"Αθήνα : Νομική Βιβλιοθήκη, 2019.")</f>
        <v>Αθήνα : Νομική Βιβλιοθήκη, 2019.</v>
      </c>
      <c r="E96" s="36" t="str">
        <f ca="1">IFERROR(__xludf.DUMMYFUNCTION("""COMPUTED_VALUE"""),"349.3 ΠαπΠ δ 2019")</f>
        <v>349.3 ΠαπΠ δ 2019</v>
      </c>
      <c r="F96" s="38" t="str">
        <f ca="1">IFERROR(__xludf.DUMMYFUNCTION("""COMPUTED_VALUE"""),"Αίθουσα Ποινικού Δικαίου και Εργατικού Δικαίου")</f>
        <v>Αίθουσα Ποινικού Δικαίου και Εργατικού Δικαίου</v>
      </c>
    </row>
    <row r="97" spans="1:6" ht="51.75" customHeight="1" x14ac:dyDescent="0.25">
      <c r="A97" s="35" t="str">
        <f ca="1">IFERROR(__xludf.DUMMYFUNCTION("""COMPUTED_VALUE"""),"Επιτομή οικογενειακού δικαίου : (κατά τον ελληνικόν αστικόν κώδικα) / Κωνσταντίνος Φουρκιώτης.")</f>
        <v>Επιτομή οικογενειακού δικαίου : (κατά τον ελληνικόν αστικόν κώδικα) / Κωνσταντίνος Φουρκιώτης.</v>
      </c>
      <c r="B97" s="36" t="str">
        <f ca="1">IFERROR(__xludf.DUMMYFUNCTION("""COMPUTED_VALUE"""),"Φουρκιώτης, Κωνσταντίνος")</f>
        <v>Φουρκιώτης, Κωνσταντίνος</v>
      </c>
      <c r="C97" s="36" t="str">
        <f ca="1">IFERROR(__xludf.DUMMYFUNCTION("""COMPUTED_VALUE"""),"")</f>
        <v/>
      </c>
      <c r="D97" s="37" t="str">
        <f ca="1">IFERROR(__xludf.DUMMYFUNCTION("""COMPUTED_VALUE"""),"Αθήνα : Παπαζήσης, 1946.")</f>
        <v>Αθήνα : Παπαζήσης, 1946.</v>
      </c>
      <c r="E97" s="36" t="str">
        <f ca="1">IFERROR(__xludf.DUMMYFUNCTION("""COMPUTED_VALUE"""),"347.6 ΦουΚ ε 1946")</f>
        <v>347.6 ΦουΚ ε 1946</v>
      </c>
      <c r="F97" s="38" t="str">
        <f ca="1">IFERROR(__xludf.DUMMYFUNCTION("""COMPUTED_VALUE"""),"Αίθουσα Αστικού και Αστικού Δικονομικού Δικαίου")</f>
        <v>Αίθουσα Αστικού και Αστικού Δικονομικού Δικαίου</v>
      </c>
    </row>
    <row r="98" spans="1:6" ht="51.75" customHeight="1" x14ac:dyDescent="0.25">
      <c r="A98" s="35" t="str">
        <f ca="1">IFERROR(__xludf.DUMMYFUNCTION("""COMPUTED_VALUE"""),"Ζητήματα ηλεκτρονικής φορτωτικής / Στέλιος Ν. Κουσούλης.")</f>
        <v>Ζητήματα ηλεκτρονικής φορτωτικής / Στέλιος Ν. Κουσούλης.</v>
      </c>
      <c r="B98" s="36" t="str">
        <f ca="1">IFERROR(__xludf.DUMMYFUNCTION("""COMPUTED_VALUE"""),"Κουσούλης, Στέλιος Ν.")</f>
        <v>Κουσούλης, Στέλιος Ν.</v>
      </c>
      <c r="C98" s="36" t="str">
        <f ca="1">IFERROR(__xludf.DUMMYFUNCTION("""COMPUTED_VALUE"""),"")</f>
        <v/>
      </c>
      <c r="D98" s="37" t="str">
        <f ca="1">IFERROR(__xludf.DUMMYFUNCTION("""COMPUTED_VALUE"""),"Αθήνα   Κομοτηνή : Αντ. Ν. Σάκκουλας, 1992.")</f>
        <v>Αθήνα   Κομοτηνή : Αντ. Ν. Σάκκουλας, 1992.</v>
      </c>
      <c r="E98" s="36" t="str">
        <f ca="1">IFERROR(__xludf.DUMMYFUNCTION("""COMPUTED_VALUE"""),"347.795(495) ΚουΣ ζ 1992")</f>
        <v>347.795(495) ΚουΣ ζ 1992</v>
      </c>
      <c r="F98" s="38" t="str">
        <f ca="1">IFERROR(__xludf.DUMMYFUNCTION("""COMPUTED_VALUE"""),"Αίθουσα Διεθνούς Δικαίου και Εμπορικού Δικαίου")</f>
        <v>Αίθουσα Διεθνούς Δικαίου και Εμπορικού Δικαίου</v>
      </c>
    </row>
    <row r="99" spans="1:6" ht="51.75" customHeight="1" x14ac:dyDescent="0.25">
      <c r="A99" s="35" t="str">
        <f ca="1">IFERROR(__xludf.DUMMYFUNCTION("""COMPUTED_VALUE"""),"Η αιτιολογία των διοικητικών πράξεων : θεσμική και δικαιοπολιτική αντιμετώπιση στην Ελλάδα / Γιώργος Γεραπετρίτης.")</f>
        <v>Η αιτιολογία των διοικητικών πράξεων : θεσμική και δικαιοπολιτική αντιμετώπιση στην Ελλάδα / Γιώργος Γεραπετρίτης.</v>
      </c>
      <c r="B99" s="36" t="str">
        <f ca="1">IFERROR(__xludf.DUMMYFUNCTION("""COMPUTED_VALUE"""),"Γεραπετρίτης, Γιώργος.")</f>
        <v>Γεραπετρίτης, Γιώργος.</v>
      </c>
      <c r="C99" s="36" t="str">
        <f ca="1">IFERROR(__xludf.DUMMYFUNCTION("""COMPUTED_VALUE"""),"")</f>
        <v/>
      </c>
      <c r="D99" s="37" t="str">
        <f ca="1">IFERROR(__xludf.DUMMYFUNCTION("""COMPUTED_VALUE"""),"Αθήνα ; Κομοτηνή : Εκδόσεις Αντ. Ν. Σάκκουλα, 1998.")</f>
        <v>Αθήνα ; Κομοτηνή : Εκδόσεις Αντ. Ν. Σάκκουλα, 1998.</v>
      </c>
      <c r="E99" s="36" t="str">
        <f ca="1">IFERROR(__xludf.DUMMYFUNCTION("""COMPUTED_VALUE"""),"342.924 ΓερΓ α 1998")</f>
        <v>342.924 ΓερΓ α 1998</v>
      </c>
      <c r="F99" s="38" t="str">
        <f ca="1">IFERROR(__xludf.DUMMYFUNCTION("""COMPUTED_VALUE"""),"Αίθουσα Δημοσίου Δικαίου")</f>
        <v>Αίθουσα Δημοσίου Δικαίου</v>
      </c>
    </row>
    <row r="100" spans="1:6" ht="51.75" customHeight="1" x14ac:dyDescent="0.25">
      <c r="A100" s="35" t="str">
        <f ca="1">IFERROR(__xludf.DUMMYFUNCTION("""COMPUTED_VALUE"""),"Η ιδιόχρηση και όλα τα υποδείγματα δικογράφων ιδιόχρησης : (με τα στοιχεία της αγωγής του ενάγοντα και τις ενστάσεις του εναγομένου) / Γερωργίου Γρ. Σιαμκουρή.")</f>
        <v>Η ιδιόχρηση και όλα τα υποδείγματα δικογράφων ιδιόχρησης : (με τα στοιχεία της αγωγής του ενάγοντα και τις ενστάσεις του εναγομένου) / Γερωργίου Γρ. Σιαμκουρή.</v>
      </c>
      <c r="B100" s="36" t="str">
        <f ca="1">IFERROR(__xludf.DUMMYFUNCTION("""COMPUTED_VALUE"""),"Σιάμκουρης, Γεώργιος Γ.")</f>
        <v>Σιάμκουρης, Γεώργιος Γ.</v>
      </c>
      <c r="C100" s="36" t="str">
        <f ca="1">IFERROR(__xludf.DUMMYFUNCTION("""COMPUTED_VALUE"""),"")</f>
        <v/>
      </c>
      <c r="D100" s="37" t="str">
        <f ca="1">IFERROR(__xludf.DUMMYFUNCTION("""COMPUTED_VALUE"""),"Θεσσαλονίκη : εκδόσεις Σάκκουλα, 1987.")</f>
        <v>Θεσσαλονίκη : εκδόσεις Σάκκουλα, 1987.</v>
      </c>
      <c r="E100" s="36" t="str">
        <f ca="1">IFERROR(__xludf.DUMMYFUNCTION("""COMPUTED_VALUE"""),"347.453 ΣιαΓ ι 1987")</f>
        <v>347.453 ΣιαΓ ι 1987</v>
      </c>
      <c r="F100" s="38" t="str">
        <f ca="1">IFERROR(__xludf.DUMMYFUNCTION("""COMPUTED_VALUE"""),"Αίθουσα Αστικού και Αστικού Δικονομικού Δικαίου")</f>
        <v>Αίθουσα Αστικού και Αστικού Δικονομικού Δικαίου</v>
      </c>
    </row>
    <row r="101" spans="1:6" ht="51.75" customHeight="1" x14ac:dyDescent="0.25">
      <c r="A101" s="35" t="s">
        <v>4450</v>
      </c>
      <c r="B101" s="36" t="s">
        <v>4451</v>
      </c>
      <c r="C101" s="36" t="str">
        <f ca="1">IFERROR(__xludf.DUMMYFUNCTION("""COMPUTED_VALUE"""),"")</f>
        <v/>
      </c>
      <c r="D101" s="37" t="str">
        <f ca="1">IFERROR(__xludf.DUMMYFUNCTION("""COMPUTED_VALUE"""),"Αθήνα, 1968.")</f>
        <v>Αθήνα, 1968.</v>
      </c>
      <c r="E101" s="36" t="str">
        <f ca="1">IFERROR(__xludf.DUMMYFUNCTION("""COMPUTED_VALUE"""),"347.786 ΠατΣ ν 1968")</f>
        <v>347.786 ΠατΣ ν 1968</v>
      </c>
      <c r="F101" s="38" t="str">
        <f ca="1">IFERROR(__xludf.DUMMYFUNCTION("""COMPUTED_VALUE"""),"Αίθουσα Αστικού και Αστικού Δικονομικού Δικαίου")</f>
        <v>Αίθουσα Αστικού και Αστικού Δικονομικού Δικαίου</v>
      </c>
    </row>
    <row r="102" spans="1:6" ht="51.75" customHeight="1" x14ac:dyDescent="0.25">
      <c r="A102" s="35" t="str">
        <f ca="1">IFERROR(__xludf.DUMMYFUNCTION("""COMPUTED_VALUE"""),"Η παραίτηση από την κατάσχεση στα χέρια τρίτου : (αναγκαστική - συντηρητική) / Ιωάννη Λ. Καστριώτη.")</f>
        <v>Η παραίτηση από την κατάσχεση στα χέρια τρίτου : (αναγκαστική - συντηρητική) / Ιωάννη Λ. Καστριώτη.</v>
      </c>
      <c r="B102" s="36" t="str">
        <f ca="1">IFERROR(__xludf.DUMMYFUNCTION("""COMPUTED_VALUE"""),"Καστριώτης, Ιωάννης Λ.")</f>
        <v>Καστριώτης, Ιωάννης Λ.</v>
      </c>
      <c r="C102" s="36" t="str">
        <f ca="1">IFERROR(__xludf.DUMMYFUNCTION("""COMPUTED_VALUE"""),"")</f>
        <v/>
      </c>
      <c r="D102" s="37" t="str">
        <f ca="1">IFERROR(__xludf.DUMMYFUNCTION("""COMPUTED_VALUE"""),"Αθήνα : [χ.ό.], 2002.")</f>
        <v>Αθήνα : [χ.ό.], 2002.</v>
      </c>
      <c r="E102" s="36" t="str">
        <f ca="1">IFERROR(__xludf.DUMMYFUNCTION("""COMPUTED_VALUE"""),"347.952.5 ΚασΙ π 2002")</f>
        <v>347.952.5 ΚασΙ π 2002</v>
      </c>
      <c r="F102" s="38" t="str">
        <f ca="1">IFERROR(__xludf.DUMMYFUNCTION("""COMPUTED_VALUE"""),"Αίθουσα Αστικού και Αστικού Δικονομικού Δικαίου")</f>
        <v>Αίθουσα Αστικού και Αστικού Δικονομικού Δικαίου</v>
      </c>
    </row>
    <row r="103" spans="1:6" ht="51.75" customHeight="1" x14ac:dyDescent="0.25">
      <c r="A103" s="35" t="str">
        <f ca="1">IFERROR(__xludf.DUMMYFUNCTION("""COMPUTED_VALUE"""),"Η συνταγματική προστασία της πνευματικής ιδιοκτησιας / Γ. Η. Κρίππα.")</f>
        <v>Η συνταγματική προστασία της πνευματικής ιδιοκτησιας / Γ. Η. Κρίππα.</v>
      </c>
      <c r="B103" s="36" t="str">
        <f ca="1">IFERROR(__xludf.DUMMYFUNCTION("""COMPUTED_VALUE"""),"Κρίπας, Γεώργιος Η.")</f>
        <v>Κρίπας, Γεώργιος Η.</v>
      </c>
      <c r="C103" s="36" t="str">
        <f ca="1">IFERROR(__xludf.DUMMYFUNCTION("""COMPUTED_VALUE"""),"")</f>
        <v/>
      </c>
      <c r="D103" s="37" t="str">
        <f ca="1">IFERROR(__xludf.DUMMYFUNCTION("""COMPUTED_VALUE"""),"Αθήνα : [χ.ό.], 1999.")</f>
        <v>Αθήνα : [χ.ό.], 1999.</v>
      </c>
      <c r="E103" s="36" t="str">
        <f ca="1">IFERROR(__xludf.DUMMYFUNCTION("""COMPUTED_VALUE"""),"342.7 ΚριΓ σ 1999")</f>
        <v>342.7 ΚριΓ σ 1999</v>
      </c>
      <c r="F103" s="38" t="str">
        <f ca="1">IFERROR(__xludf.DUMMYFUNCTION("""COMPUTED_VALUE"""),"Αίθουσα Δημοσίου Δικαίου")</f>
        <v>Αίθουσα Δημοσίου Δικαίου</v>
      </c>
    </row>
    <row r="104" spans="1:6" ht="51.75" customHeight="1" x14ac:dyDescent="0.25">
      <c r="A104" s="35" t="str">
        <f ca="1">IFERROR(__xludf.DUMMYFUNCTION("""COMPUTED_VALUE"""),"Η σχέση πολιτικής δικονομίας και Δικονομίας του ΣτΕ : συμβολή στην ερμηνεία του άρθρου 40 ΠΔ 18/1989 / Ιωάννης Ε. Καστανάς   πρόλογος Πάνος Λαζαράτος.")</f>
        <v>Η σχέση πολιτικής δικονομίας και Δικονομίας του ΣτΕ : συμβολή στην ερμηνεία του άρθρου 40 ΠΔ 18/1989 / Ιωάννης Ε. Καστανάς   πρόλογος Πάνος Λαζαράτος.</v>
      </c>
      <c r="B104" s="36" t="str">
        <f ca="1">IFERROR(__xludf.DUMMYFUNCTION("""COMPUTED_VALUE"""),"Καστανάς, Ιωάννης Ε.")</f>
        <v>Καστανάς, Ιωάννης Ε.</v>
      </c>
      <c r="C104" s="36" t="str">
        <f ca="1">IFERROR(__xludf.DUMMYFUNCTION("""COMPUTED_VALUE"""),"")</f>
        <v/>
      </c>
      <c r="D104" s="37" t="str">
        <f ca="1">IFERROR(__xludf.DUMMYFUNCTION("""COMPUTED_VALUE"""),"Αθήνα : Νομική Βιβλιοθήκη, 2019.")</f>
        <v>Αθήνα : Νομική Βιβλιοθήκη, 2019.</v>
      </c>
      <c r="E104" s="36" t="str">
        <f ca="1">IFERROR(__xludf.DUMMYFUNCTION("""COMPUTED_VALUE"""),"351.95:347.9 ΚασΙ σ 2019")</f>
        <v>351.95:347.9 ΚασΙ σ 2019</v>
      </c>
      <c r="F104" s="38" t="str">
        <f ca="1">IFERROR(__xludf.DUMMYFUNCTION("""COMPUTED_VALUE"""),"Αίθουσα Δημοσίου Δικαίου")</f>
        <v>Αίθουσα Δημοσίου Δικαίου</v>
      </c>
    </row>
    <row r="105" spans="1:6" ht="51.75" customHeight="1" x14ac:dyDescent="0.25">
      <c r="A105" s="35" t="str">
        <f ca="1">IFERROR(__xludf.DUMMYFUNCTION("""COMPUTED_VALUE"""),"Η τρομοκρατία στον χώρο ελευθερίας, ασφάλειας και δικαιοσύνης της Ευρωπαϊκής Ένωσης : νομικό πλαίσιο, όργανα και οργανισμοί, δράσεις πρόληψης και καταπολέμησης / Μάρκος Παπακωνσταντής   πρόλογος Ευγενία Ρ. Σαχπεκίδου.")</f>
        <v>Η τρομοκρατία στον χώρο ελευθερίας, ασφάλειας και δικαιοσύνης της Ευρωπαϊκής Ένωσης : νομικό πλαίσιο, όργανα και οργανισμοί, δράσεις πρόληψης και καταπολέμησης / Μάρκος Παπακωνσταντής   πρόλογος Ευγενία Ρ. Σαχπεκίδου.</v>
      </c>
      <c r="B105" s="36" t="str">
        <f ca="1">IFERROR(__xludf.DUMMYFUNCTION("""COMPUTED_VALUE"""),"Παπακωνσταντής, Μάρκος.")</f>
        <v>Παπακωνσταντής, Μάρκος.</v>
      </c>
      <c r="C105" s="36" t="str">
        <f ca="1">IFERROR(__xludf.DUMMYFUNCTION("""COMPUTED_VALUE"""),"")</f>
        <v/>
      </c>
      <c r="D105" s="37" t="str">
        <f ca="1">IFERROR(__xludf.DUMMYFUNCTION("""COMPUTED_VALUE"""),"Αθήνα : Νομική Βιβλιοθήκη, 2019.")</f>
        <v>Αθήνα : Νομική Βιβλιοθήκη, 2019.</v>
      </c>
      <c r="E105" s="36" t="str">
        <f ca="1">IFERROR(__xludf.DUMMYFUNCTION("""COMPUTED_VALUE"""),"343.341(4-672EU) ΠαπΜ τ 2019")</f>
        <v>343.341(4-672EU) ΠαπΜ τ 2019</v>
      </c>
      <c r="F105" s="38" t="str">
        <f ca="1">IFERROR(__xludf.DUMMYFUNCTION("""COMPUTED_VALUE"""),"Αίθουσα Ποινικού Δικαίου και Εργατικού Δικαίου")</f>
        <v>Αίθουσα Ποινικού Δικαίου και Εργατικού Δικαίου</v>
      </c>
    </row>
    <row r="106" spans="1:6" ht="51.75" customHeight="1" x14ac:dyDescent="0.25">
      <c r="A106" s="35" t="str">
        <f ca="1">IFERROR(__xludf.DUMMYFUNCTION("""COMPUTED_VALUE"""),"Η φοροδιαφυγή στο ΦΠΑ, τα μέτρα για την καταπολέμησή της και η άμυνα του φορολογούμενου = VAT fraud, measures fighting VAT fraud and taxpayer's defense / Δήμητρα Α. Κούνη   Εθνικό και Καποδιστριακό Πανεπιστήμιο Αθηνών. Νομική Σχολή.")</f>
        <v>Η φοροδιαφυγή στο ΦΠΑ, τα μέτρα για την καταπολέμησή της και η άμυνα του φορολογούμενου = VAT fraud, measures fighting VAT fraud and taxpayer's defense / Δήμητρα Α. Κούνη   Εθνικό και Καποδιστριακό Πανεπιστήμιο Αθηνών. Νομική Σχολή.</v>
      </c>
      <c r="B106" s="36" t="str">
        <f ca="1">IFERROR(__xludf.DUMMYFUNCTION("""COMPUTED_VALUE"""),"Κούνη, Δήμητρα Α.")</f>
        <v>Κούνη, Δήμητρα Α.</v>
      </c>
      <c r="C106" s="36" t="str">
        <f ca="1">IFERROR(__xludf.DUMMYFUNCTION("""COMPUTED_VALUE"""),"")</f>
        <v/>
      </c>
      <c r="D106" s="37" t="str">
        <f ca="1">IFERROR(__xludf.DUMMYFUNCTION("""COMPUTED_VALUE"""),"Αθήνα : [χ.ό.], 2019.")</f>
        <v>Αθήνα : [χ.ό.], 2019.</v>
      </c>
      <c r="E106" s="36" t="str">
        <f ca="1">IFERROR(__xludf.DUMMYFUNCTION("""COMPUTED_VALUE"""),"34‪(043.5)‬ ΚουΔ φ 2019")</f>
        <v>34‪(043.5)‬ ΚουΔ φ 2019</v>
      </c>
      <c r="F106" s="38" t="str">
        <f ca="1">IFERROR(__xludf.DUMMYFUNCTION("""COMPUTED_VALUE"""),"Αίθουσα διδακτορικών διατριβών 1ος όροφος")</f>
        <v>Αίθουσα διδακτορικών διατριβών 1ος όροφος</v>
      </c>
    </row>
    <row r="107" spans="1:6" ht="51.75" customHeight="1" x14ac:dyDescent="0.25">
      <c r="A107" s="35" t="s">
        <v>4452</v>
      </c>
      <c r="B107" s="36" t="str">
        <f ca="1">IFERROR(__xludf.DUMMYFUNCTION("""COMPUTED_VALUE"""),"")</f>
        <v/>
      </c>
      <c r="C107" s="36" t="str">
        <f ca="1">IFERROR(__xludf.DUMMYFUNCTION("""COMPUTED_VALUE"""),"")</f>
        <v/>
      </c>
      <c r="D107" s="37" t="str">
        <f ca="1">IFERROR(__xludf.DUMMYFUNCTION("""COMPUTED_VALUE"""),"Αθήνα : Αντ. Ν. Σάκκουλας, 2019.")</f>
        <v>Αθήνα : Αντ. Ν. Σάκκουλας, 2019.</v>
      </c>
      <c r="E107" s="36" t="s">
        <v>4453</v>
      </c>
      <c r="F107" s="38" t="str">
        <f ca="1">IFERROR(__xludf.DUMMYFUNCTION("""COMPUTED_VALUE"""),"Αίθουσα τιμητικών τόμων, 1ος όροφ.")</f>
        <v>Αίθουσα τιμητικών τόμων, 1ος όροφ.</v>
      </c>
    </row>
    <row r="108" spans="1:6" ht="51.75" customHeight="1" x14ac:dyDescent="0.25">
      <c r="A108" s="35" t="s">
        <v>4454</v>
      </c>
      <c r="B108" s="36" t="s">
        <v>4455</v>
      </c>
      <c r="C108" s="36" t="str">
        <f ca="1">IFERROR(__xludf.DUMMYFUNCTION("""COMPUTED_VALUE"""),"")</f>
        <v/>
      </c>
      <c r="D108" s="37" t="str">
        <f ca="1">IFERROR(__xludf.DUMMYFUNCTION("""COMPUTED_VALUE"""),"Αθήνα : Νομική Βιβλιοθήκη, 2019.")</f>
        <v>Αθήνα : Νομική Βιβλιοθήκη, 2019.</v>
      </c>
      <c r="E108" s="36" t="str">
        <f ca="1">IFERROR(__xludf.DUMMYFUNCTION("""COMPUTED_VALUE"""),"342(4-672EU)(063) ΕΣΚ2018 2019")</f>
        <v>342(4-672EU)(063) ΕΣΚ2018 2019</v>
      </c>
      <c r="F108" s="38" t="str">
        <f ca="1">IFERROR(__xludf.DUMMYFUNCTION("""COMPUTED_VALUE"""),"Αίθουσα Δημοσίου Δικαίου")</f>
        <v>Αίθουσα Δημοσίου Δικαίου</v>
      </c>
    </row>
    <row r="109" spans="1:6" ht="51.75" customHeight="1" x14ac:dyDescent="0.25">
      <c r="A109" s="35" t="str">
        <f ca="1">IFERROR(__xludf.DUMMYFUNCTION("""COMPUTED_VALUE"""),"Οι συνέπειες της απεργίας στα εργασιακά και ασφαλιστικά δικαιώματα.")</f>
        <v>Οι συνέπειες της απεργίας στα εργασιακά και ασφαλιστικά δικαιώματα.</v>
      </c>
      <c r="B109" s="36" t="str">
        <f ca="1">IFERROR(__xludf.DUMMYFUNCTION("""COMPUTED_VALUE"""),"Κρεμαλής, Κωνσταντίνος Δ.")</f>
        <v>Κρεμαλής, Κωνσταντίνος Δ.</v>
      </c>
      <c r="C109" s="36" t="str">
        <f ca="1">IFERROR(__xludf.DUMMYFUNCTION("""COMPUTED_VALUE"""),"")</f>
        <v/>
      </c>
      <c r="D109" s="37" t="str">
        <f ca="1">IFERROR(__xludf.DUMMYFUNCTION("""COMPUTED_VALUE"""),"Αθήνα : [χ.ο.], 1984.")</f>
        <v>Αθήνα : [χ.ο.], 1984.</v>
      </c>
      <c r="E109" s="36" t="str">
        <f ca="1">IFERROR(__xludf.DUMMYFUNCTION("""COMPUTED_VALUE"""),"349.215(04) ΚρεΚ σ 1984")</f>
        <v>349.215(04) ΚρεΚ σ 1984</v>
      </c>
      <c r="F109" s="38" t="str">
        <f ca="1">IFERROR(__xludf.DUMMYFUNCTION("""COMPUTED_VALUE"""),"Αίθουσα Ποινικού Δικαίου και Εργατικού Δικαίου")</f>
        <v>Αίθουσα Ποινικού Δικαίου και Εργατικού Δικαίου</v>
      </c>
    </row>
    <row r="110" spans="1:6" ht="51.75" customHeight="1" x14ac:dyDescent="0.25">
      <c r="A110" s="35" t="str">
        <f ca="1">IFERROR(__xludf.DUMMYFUNCTION("""COMPUTED_VALUE"""),"Παραδόσεις εργατικού δικαίου / Αλεξ. Γ. Καρακατσάνης.")</f>
        <v>Παραδόσεις εργατικού δικαίου / Αλεξ. Γ. Καρακατσάνης.</v>
      </c>
      <c r="B110" s="36" t="str">
        <f ca="1">IFERROR(__xludf.DUMMYFUNCTION("""COMPUTED_VALUE"""),"Καρακατσάνης, Αλέξανδρος Γ., 1931-2000.")</f>
        <v>Καρακατσάνης, Αλέξανδρος Γ., 1931-2000.</v>
      </c>
      <c r="C110" s="36" t="str">
        <f ca="1">IFERROR(__xludf.DUMMYFUNCTION("""COMPUTED_VALUE"""),"")</f>
        <v/>
      </c>
      <c r="D110" s="37" t="str">
        <f ca="1">IFERROR(__xludf.DUMMYFUNCTION("""COMPUTED_VALUE"""),"Αθήναι, 1971-")</f>
        <v>Αθήναι, 1971-</v>
      </c>
      <c r="E110" s="36" t="str">
        <f ca="1">IFERROR(__xludf.DUMMYFUNCTION("""COMPUTED_VALUE"""),"349.2(495) ΚαρΑ π 1971 1")</f>
        <v>349.2(495) ΚαρΑ π 1971 1</v>
      </c>
      <c r="F110" s="38" t="str">
        <f ca="1">IFERROR(__xludf.DUMMYFUNCTION("""COMPUTED_VALUE"""),"Αίθουσα Ποινικού Δικαίου και Εργατικού Δικαίου")</f>
        <v>Αίθουσα Ποινικού Δικαίου και Εργατικού Δικαίου</v>
      </c>
    </row>
    <row r="111" spans="1:6" ht="51.75" customHeight="1" x14ac:dyDescent="0.25">
      <c r="A111" s="35" t="s">
        <v>4456</v>
      </c>
      <c r="B111" s="36" t="str">
        <f ca="1">IFERROR(__xludf.DUMMYFUNCTION("""COMPUTED_VALUE"""),"")</f>
        <v/>
      </c>
      <c r="C111" s="36" t="str">
        <f ca="1">IFERROR(__xludf.DUMMYFUNCTION("""COMPUTED_VALUE"""),"")</f>
        <v/>
      </c>
      <c r="D111" s="37" t="str">
        <f ca="1">IFERROR(__xludf.DUMMYFUNCTION("""COMPUTED_VALUE"""),"Αθήνα : Εκδόσεις Καπόν, 2004.")</f>
        <v>Αθήνα : Εκδόσεις Καπόν, 2004.</v>
      </c>
      <c r="E111" s="36" t="str">
        <f ca="1">IFERROR(__xludf.DUMMYFUNCTION("""COMPUTED_VALUE"""),"347.78(063) ΠΠΙ2003 2004")</f>
        <v>347.78(063) ΠΠΙ2003 2004</v>
      </c>
      <c r="F111" s="38" t="str">
        <f ca="1">IFERROR(__xludf.DUMMYFUNCTION("""COMPUTED_VALUE"""),"Αίθουσα Αστικού και Αστικού Δικονομικού Δικαίου")</f>
        <v>Αίθουσα Αστικού και Αστικού Δικονομικού Δικαίου</v>
      </c>
    </row>
    <row r="112" spans="1:6" ht="51.75" customHeight="1" x14ac:dyDescent="0.25">
      <c r="A112" s="35" t="str">
        <f ca="1">IFERROR(__xludf.DUMMYFUNCTION("""COMPUTED_VALUE"""),"Ρύθμιση θεμάτων μισθώσεων κατοικιών : (ν.1467/1984) / Παύλου Χρ. Φίλιου.")</f>
        <v>Ρύθμιση θεμάτων μισθώσεων κατοικιών : (ν.1467/1984) / Παύλου Χρ. Φίλιου.</v>
      </c>
      <c r="B112" s="36" t="str">
        <f ca="1">IFERROR(__xludf.DUMMYFUNCTION("""COMPUTED_VALUE"""),"Φίλιος, Παύλος Χ.")</f>
        <v>Φίλιος, Παύλος Χ.</v>
      </c>
      <c r="C112" s="36" t="str">
        <f ca="1">IFERROR(__xludf.DUMMYFUNCTION("""COMPUTED_VALUE"""),"")</f>
        <v/>
      </c>
      <c r="D112" s="37" t="str">
        <f ca="1">IFERROR(__xludf.DUMMYFUNCTION("""COMPUTED_VALUE"""),"Αθήνα : Σάκκουλας, 1984.")</f>
        <v>Αθήνα : Σάκκουλας, 1984.</v>
      </c>
      <c r="E112" s="36" t="str">
        <f ca="1">IFERROR(__xludf.DUMMYFUNCTION("""COMPUTED_VALUE"""),"347.453 ΦιλΠ μ/ρ 1984")</f>
        <v>347.453 ΦιλΠ μ/ρ 1984</v>
      </c>
      <c r="F112" s="38" t="str">
        <f ca="1">IFERROR(__xludf.DUMMYFUNCTION("""COMPUTED_VALUE"""),"Αίθουσα Αστικού και Αστικού Δικονομικού Δικαίου")</f>
        <v>Αίθουσα Αστικού και Αστικού Δικονομικού Δικαίου</v>
      </c>
    </row>
    <row r="113" spans="1:6" ht="51.75" customHeight="1" x14ac:dyDescent="0.25">
      <c r="A113" s="35" t="str">
        <f ca="1">IFERROR(__xludf.DUMMYFUNCTION("""COMPUTED_VALUE"""),"Σημειώσεις γενικών αρχών / Νέστορος Ε. Κουράκη.")</f>
        <v>Σημειώσεις γενικών αρχών / Νέστορος Ε. Κουράκη.</v>
      </c>
      <c r="B113" s="36" t="str">
        <f ca="1">IFERROR(__xludf.DUMMYFUNCTION("""COMPUTED_VALUE"""),"Κουράκης, Νέστορ Ε., 1947-")</f>
        <v>Κουράκης, Νέστορ Ε., 1947-</v>
      </c>
      <c r="C113" s="36" t="str">
        <f ca="1">IFERROR(__xludf.DUMMYFUNCTION("""COMPUTED_VALUE"""),"")</f>
        <v/>
      </c>
      <c r="D113" s="37" t="str">
        <f ca="1">IFERROR(__xludf.DUMMYFUNCTION("""COMPUTED_VALUE"""),"Αθήναι :  Το Νομικόν  Αντ. Ν. Σάκκουλα, [1969]")</f>
        <v>Αθήναι :  Το Νομικόν  Αντ. Ν. Σάκκουλα, [1969]</v>
      </c>
      <c r="E113" s="36" t="s">
        <v>4457</v>
      </c>
      <c r="F113" s="38" t="str">
        <f ca="1">IFERROR(__xludf.DUMMYFUNCTION("""COMPUTED_VALUE"""),"Αίθουσα Αστικού και Αστικού Δικονομικού Δικαίου")</f>
        <v>Αίθουσα Αστικού και Αστικού Δικονομικού Δικαίου</v>
      </c>
    </row>
    <row r="114" spans="1:6" ht="51.75" customHeight="1" x14ac:dyDescent="0.25">
      <c r="A114" s="35" t="str">
        <f ca="1">IFERROR(__xludf.DUMMYFUNCTION("""COMPUTED_VALUE"""),"Το Εργατικό και το Αστικό Δίκαιο σε ανοικτό διάλογο / επιμέλεια Κώστας Δ. Παπαδημητρίου, Γιάννα Καρύμπαλη-Τσίπτσιου.")</f>
        <v>Το Εργατικό και το Αστικό Δίκαιο σε ανοικτό διάλογο / επιμέλεια Κώστας Δ. Παπαδημητρίου, Γιάννα Καρύμπαλη-Τσίπτσιου.</v>
      </c>
      <c r="B114" s="36" t="str">
        <f ca="1">IFERROR(__xludf.DUMMYFUNCTION("""COMPUTED_VALUE"""),"Ελληνική Εταιρεία Δικαίου της Εργασίας και της Κοινωνικής Ασφαλίσεως (17: 2018: Θεσσαλονίκη)")</f>
        <v>Ελληνική Εταιρεία Δικαίου της Εργασίας και της Κοινωνικής Ασφαλίσεως (17: 2018: Θεσσαλονίκη)</v>
      </c>
      <c r="C114" s="36" t="str">
        <f ca="1">IFERROR(__xludf.DUMMYFUNCTION("""COMPUTED_VALUE"""),"")</f>
        <v/>
      </c>
      <c r="D114" s="37" t="str">
        <f ca="1">IFERROR(__xludf.DUMMYFUNCTION("""COMPUTED_VALUE"""),"Αθήνα   Θεσσαλονίκη : Εκδόσεις Σάκκουλα, 2019.")</f>
        <v>Αθήνα   Θεσσαλονίκη : Εκδόσεις Σάκκουλα, 2019.</v>
      </c>
      <c r="E114" s="36" t="str">
        <f ca="1">IFERROR(__xludf.DUMMYFUNCTION("""COMPUTED_VALUE"""),"349.2(063) ΕΔΕΚΑ2018 ε 2019")</f>
        <v>349.2(063) ΕΔΕΚΑ2018 ε 2019</v>
      </c>
      <c r="F114" s="38" t="str">
        <f ca="1">IFERROR(__xludf.DUMMYFUNCTION("""COMPUTED_VALUE"""),"Αίθουσα Ποινικού Δικαίου και Εργατικού Δικαίου")</f>
        <v>Αίθουσα Ποινικού Δικαίου και Εργατικού Δικαίου</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Ιανουάριος-Ιούνιος 2019</vt:lpstr>
      <vt:lpstr>Ιούλιος 2019</vt:lpstr>
      <vt:lpstr>Αύγουστος-Σεπτέμβριος 2019</vt:lpstr>
      <vt:lpstr>Οκτώβριος 2019</vt:lpstr>
      <vt:lpstr>Νοέμβριος 2019</vt:lpstr>
      <vt:lpstr>Δεκέμβριος 2019</vt:lpstr>
      <vt:lpstr>Φύλλο2</vt:lpstr>
      <vt:lpstr>Φύλλο3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ΜΥΡΣΙΝΗ</dc:creator>
  <cp:lastModifiedBy>User 1</cp:lastModifiedBy>
  <dcterms:created xsi:type="dcterms:W3CDTF">2019-02-12T07:54:52Z</dcterms:created>
  <dcterms:modified xsi:type="dcterms:W3CDTF">2020-02-04T13:49:54Z</dcterms:modified>
</cp:coreProperties>
</file>